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niwa-my.sharepoint.com/personal/hamish_biggs_niwa_co_nz/Documents/Projects/2024 Misc/Discharge calculator/"/>
    </mc:Choice>
  </mc:AlternateContent>
  <xr:revisionPtr revIDLastSave="279" documentId="13_ncr:1_{1A6E8DCF-5FFF-4D8C-9AB1-6B64372F379B}" xr6:coauthVersionLast="47" xr6:coauthVersionMax="47" xr10:uidLastSave="{B38E6B3B-B982-4ACA-ABC0-3C7CE039D397}"/>
  <bookViews>
    <workbookView xWindow="-120" yWindow="-120" windowWidth="29040" windowHeight="15840" activeTab="2" xr2:uid="{00000000-000D-0000-FFFF-FFFF00000000}"/>
  </bookViews>
  <sheets>
    <sheet name="Velocity and Discharge" sheetId="1" r:id="rId1"/>
    <sheet name="Original Cross Section - 1st WL" sheetId="2" r:id="rId2"/>
    <sheet name="Updated Cross Section - New WL"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9" i="1" l="1"/>
  <c r="O10" i="1"/>
  <c r="O11" i="1"/>
  <c r="O12" i="1"/>
  <c r="O13" i="1"/>
  <c r="O14" i="1"/>
  <c r="O15" i="1"/>
  <c r="O16" i="1"/>
  <c r="O17" i="1"/>
  <c r="O18" i="1"/>
  <c r="O19" i="1"/>
  <c r="O20" i="1"/>
  <c r="O21" i="1"/>
  <c r="O22" i="1"/>
  <c r="O23" i="1"/>
  <c r="O24" i="1"/>
  <c r="O25" i="1"/>
  <c r="O26" i="1"/>
  <c r="O27" i="1"/>
  <c r="O28" i="1"/>
  <c r="O29" i="1"/>
  <c r="O30" i="1"/>
  <c r="O31" i="1"/>
  <c r="O8" i="1"/>
  <c r="N10" i="1"/>
  <c r="N11" i="1"/>
  <c r="N12" i="1"/>
  <c r="N13" i="1"/>
  <c r="N14" i="1"/>
  <c r="N15" i="1"/>
  <c r="N16" i="1"/>
  <c r="N17" i="1"/>
  <c r="N18" i="1"/>
  <c r="N19" i="1"/>
  <c r="N20" i="1"/>
  <c r="N21" i="1"/>
  <c r="N22" i="1"/>
  <c r="N23" i="1"/>
  <c r="N24" i="1"/>
  <c r="N25" i="1"/>
  <c r="N26" i="1"/>
  <c r="N27" i="1"/>
  <c r="N28" i="1"/>
  <c r="N29" i="1"/>
  <c r="N30" i="1"/>
  <c r="N31" i="1"/>
  <c r="N32" i="1"/>
  <c r="N9" i="1"/>
  <c r="K33" i="1"/>
  <c r="K34" i="1"/>
  <c r="K35" i="1"/>
  <c r="K36" i="1"/>
  <c r="K37" i="1"/>
  <c r="K38" i="1"/>
  <c r="K39" i="1"/>
  <c r="K40" i="1"/>
  <c r="K41" i="1"/>
  <c r="K42" i="1"/>
  <c r="K43" i="1"/>
  <c r="K44" i="1"/>
  <c r="K45" i="1"/>
  <c r="K46" i="1"/>
  <c r="K47" i="1"/>
  <c r="J33" i="1"/>
  <c r="J34" i="1"/>
  <c r="J35" i="1"/>
  <c r="J36" i="1"/>
  <c r="J37" i="1"/>
  <c r="J38" i="1"/>
  <c r="J39" i="1"/>
  <c r="J40" i="1"/>
  <c r="J41" i="1"/>
  <c r="J42" i="1"/>
  <c r="J43" i="1"/>
  <c r="J44" i="1"/>
  <c r="J45" i="1"/>
  <c r="J46" i="1"/>
  <c r="J47" i="1"/>
  <c r="AC56" i="1"/>
  <c r="O47" i="1" s="1"/>
  <c r="AC57" i="1"/>
  <c r="AD57" i="1"/>
  <c r="AC51" i="1"/>
  <c r="AC52" i="1"/>
  <c r="AC53" i="1"/>
  <c r="AC54" i="1"/>
  <c r="AC55" i="1"/>
  <c r="B5" i="3"/>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8" i="2"/>
  <c r="B29" i="3"/>
  <c r="B21" i="3"/>
  <c r="B13" i="3"/>
  <c r="D11" i="3"/>
  <c r="D12" i="3"/>
  <c r="D13" i="3"/>
  <c r="D14" i="3"/>
  <c r="D15" i="3"/>
  <c r="D16" i="3"/>
  <c r="D17" i="3"/>
  <c r="D18" i="3"/>
  <c r="D19" i="3"/>
  <c r="D20" i="3"/>
  <c r="D21" i="3"/>
  <c r="D22" i="3"/>
  <c r="D23" i="3"/>
  <c r="D24" i="3"/>
  <c r="D25" i="3"/>
  <c r="D26" i="3"/>
  <c r="D27" i="3"/>
  <c r="D28" i="3"/>
  <c r="D29" i="3"/>
  <c r="D30" i="3"/>
  <c r="D31" i="3"/>
  <c r="D32" i="3"/>
  <c r="D33" i="3"/>
  <c r="D34" i="3"/>
  <c r="D35" i="3"/>
  <c r="D37" i="3"/>
  <c r="D38" i="3"/>
  <c r="D39" i="3"/>
  <c r="D40" i="3"/>
  <c r="D41" i="3"/>
  <c r="D42" i="3"/>
  <c r="D43" i="3"/>
  <c r="D44" i="3"/>
  <c r="D45" i="3"/>
  <c r="D46" i="3"/>
  <c r="D47" i="3"/>
  <c r="D48" i="3"/>
  <c r="D49" i="3"/>
  <c r="D50" i="3"/>
  <c r="D51" i="3"/>
  <c r="D52" i="3"/>
  <c r="D53" i="3"/>
  <c r="D54" i="3"/>
  <c r="D55" i="3"/>
  <c r="D56" i="3"/>
  <c r="D57" i="3"/>
  <c r="AC7" i="1"/>
  <c r="AD7" i="1"/>
  <c r="D9" i="3"/>
  <c r="A10" i="3"/>
  <c r="AC9" i="1" s="1"/>
  <c r="B10" i="3"/>
  <c r="A11" i="3"/>
  <c r="B11" i="3"/>
  <c r="A12" i="3"/>
  <c r="AC11" i="1" s="1"/>
  <c r="B12" i="3"/>
  <c r="A13" i="3"/>
  <c r="AC12" i="1" s="1"/>
  <c r="A14" i="3"/>
  <c r="B14" i="3"/>
  <c r="A15" i="3"/>
  <c r="AC14" i="1" s="1"/>
  <c r="B15" i="3"/>
  <c r="A16" i="3"/>
  <c r="AC15" i="1" s="1"/>
  <c r="B16" i="3"/>
  <c r="A17" i="3"/>
  <c r="AC16" i="1" s="1"/>
  <c r="B17" i="3"/>
  <c r="A18" i="3"/>
  <c r="AC17" i="1" s="1"/>
  <c r="B18" i="3"/>
  <c r="A19" i="3"/>
  <c r="AC18" i="1" s="1"/>
  <c r="B19" i="3"/>
  <c r="A20" i="3"/>
  <c r="AC19" i="1" s="1"/>
  <c r="B20" i="3"/>
  <c r="A21" i="3"/>
  <c r="AC20" i="1" s="1"/>
  <c r="A22" i="3"/>
  <c r="AC21" i="1" s="1"/>
  <c r="B22" i="3"/>
  <c r="A23" i="3"/>
  <c r="AC22" i="1" s="1"/>
  <c r="B23" i="3"/>
  <c r="A24" i="3"/>
  <c r="AC23" i="1" s="1"/>
  <c r="B24" i="3"/>
  <c r="A25" i="3"/>
  <c r="AC24" i="1" s="1"/>
  <c r="B25" i="3"/>
  <c r="A26" i="3"/>
  <c r="AC25" i="1" s="1"/>
  <c r="B26" i="3"/>
  <c r="A27" i="3"/>
  <c r="AC26" i="1" s="1"/>
  <c r="B27" i="3"/>
  <c r="A28" i="3"/>
  <c r="AC27" i="1" s="1"/>
  <c r="B28" i="3"/>
  <c r="A29" i="3"/>
  <c r="AC28" i="1" s="1"/>
  <c r="A30" i="3"/>
  <c r="AC29" i="1" s="1"/>
  <c r="B30" i="3"/>
  <c r="A31" i="3"/>
  <c r="AC30" i="1" s="1"/>
  <c r="B31" i="3"/>
  <c r="A32" i="3"/>
  <c r="AC31" i="1" s="1"/>
  <c r="B32" i="3"/>
  <c r="A33" i="3"/>
  <c r="AC32" i="1" s="1"/>
  <c r="B33" i="3"/>
  <c r="A34" i="3"/>
  <c r="AC33" i="1" s="1"/>
  <c r="B34" i="3"/>
  <c r="A35" i="3"/>
  <c r="AC34" i="1" s="1"/>
  <c r="B35" i="3"/>
  <c r="A36" i="3"/>
  <c r="AC35" i="1" s="1"/>
  <c r="B36" i="3"/>
  <c r="A37" i="3"/>
  <c r="AC36" i="1" s="1"/>
  <c r="B37" i="3"/>
  <c r="A38" i="3"/>
  <c r="AC37" i="1" s="1"/>
  <c r="B38" i="3"/>
  <c r="A39" i="3"/>
  <c r="AC38" i="1" s="1"/>
  <c r="B39" i="3"/>
  <c r="A40" i="3"/>
  <c r="AC39" i="1" s="1"/>
  <c r="B40" i="3"/>
  <c r="A41" i="3"/>
  <c r="AC40" i="1" s="1"/>
  <c r="B41" i="3"/>
  <c r="A42" i="3"/>
  <c r="AC41" i="1" s="1"/>
  <c r="B42" i="3"/>
  <c r="A43" i="3"/>
  <c r="AC42" i="1" s="1"/>
  <c r="B43" i="3"/>
  <c r="A44" i="3"/>
  <c r="AC43" i="1" s="1"/>
  <c r="B44" i="3"/>
  <c r="A45" i="3"/>
  <c r="AC44" i="1" s="1"/>
  <c r="B45" i="3"/>
  <c r="A46" i="3"/>
  <c r="AC45" i="1" s="1"/>
  <c r="B46" i="3"/>
  <c r="A47" i="3"/>
  <c r="AC46" i="1" s="1"/>
  <c r="B47" i="3"/>
  <c r="A48" i="3"/>
  <c r="AC47" i="1" s="1"/>
  <c r="B48" i="3"/>
  <c r="A49" i="3"/>
  <c r="AC48" i="1" s="1"/>
  <c r="B49" i="3"/>
  <c r="A50" i="3"/>
  <c r="AC49" i="1" s="1"/>
  <c r="B50" i="3"/>
  <c r="A51" i="3"/>
  <c r="AC50" i="1" s="1"/>
  <c r="B51" i="3"/>
  <c r="A52" i="3"/>
  <c r="B52" i="3"/>
  <c r="A53" i="3"/>
  <c r="B53" i="3"/>
  <c r="A54" i="3"/>
  <c r="B54" i="3"/>
  <c r="A55" i="3"/>
  <c r="B55" i="3"/>
  <c r="A56" i="3"/>
  <c r="B56" i="3"/>
  <c r="A57" i="3"/>
  <c r="B57" i="3"/>
  <c r="B9" i="3"/>
  <c r="A9" i="3"/>
  <c r="P25" i="1" l="1"/>
  <c r="U19" i="1"/>
  <c r="P18" i="1"/>
  <c r="P29" i="1"/>
  <c r="Q11" i="1"/>
  <c r="AC13" i="1"/>
  <c r="C9" i="3"/>
  <c r="C50" i="3"/>
  <c r="C25" i="3"/>
  <c r="C32" i="3"/>
  <c r="C48" i="3"/>
  <c r="AD47" i="1" s="1"/>
  <c r="C40" i="3"/>
  <c r="AD39" i="1" s="1"/>
  <c r="C15" i="3"/>
  <c r="C55" i="3"/>
  <c r="AD54" i="1" s="1"/>
  <c r="C47" i="3"/>
  <c r="C30" i="3"/>
  <c r="C14" i="3"/>
  <c r="C54" i="3"/>
  <c r="AD53" i="1" s="1"/>
  <c r="C46" i="3"/>
  <c r="AD45" i="1" s="1"/>
  <c r="C38" i="3"/>
  <c r="AD37" i="1" s="1"/>
  <c r="C29" i="3"/>
  <c r="AD28" i="1" s="1"/>
  <c r="C21" i="3"/>
  <c r="C13" i="3"/>
  <c r="C42" i="3"/>
  <c r="AD41" i="1" s="1"/>
  <c r="C57" i="3"/>
  <c r="AD56" i="1" s="1"/>
  <c r="C49" i="3"/>
  <c r="AD48" i="1" s="1"/>
  <c r="C41" i="3"/>
  <c r="AD40" i="1" s="1"/>
  <c r="C16" i="3"/>
  <c r="C39" i="3"/>
  <c r="AD38" i="1" s="1"/>
  <c r="C36" i="3"/>
  <c r="AD35" i="1" s="1"/>
  <c r="C53" i="3"/>
  <c r="AD52" i="1" s="1"/>
  <c r="C45" i="3"/>
  <c r="AD44" i="1" s="1"/>
  <c r="C37" i="3"/>
  <c r="AD36" i="1" s="1"/>
  <c r="C28" i="3"/>
  <c r="C20" i="3"/>
  <c r="C12" i="3"/>
  <c r="C33" i="3"/>
  <c r="AD32" i="1" s="1"/>
  <c r="C24" i="3"/>
  <c r="C31" i="3"/>
  <c r="C52" i="3"/>
  <c r="AD51" i="1" s="1"/>
  <c r="C44" i="3"/>
  <c r="AD43" i="1" s="1"/>
  <c r="C35" i="3"/>
  <c r="C27" i="3"/>
  <c r="AD26" i="1" s="1"/>
  <c r="C19" i="3"/>
  <c r="C11" i="3"/>
  <c r="C17" i="3"/>
  <c r="C56" i="3"/>
  <c r="AD55" i="1" s="1"/>
  <c r="C23" i="3"/>
  <c r="C22" i="3"/>
  <c r="C51" i="3"/>
  <c r="AD50" i="1" s="1"/>
  <c r="C43" i="3"/>
  <c r="AD42" i="1" s="1"/>
  <c r="C34" i="3"/>
  <c r="C26" i="3"/>
  <c r="C18" i="3"/>
  <c r="C10" i="3"/>
  <c r="AC8" i="1"/>
  <c r="Q16" i="1" s="1"/>
  <c r="AC10" i="1"/>
  <c r="AD49" i="1"/>
  <c r="AD46" i="1"/>
  <c r="AD8" i="1"/>
  <c r="K8" i="1" l="1"/>
  <c r="J8" i="1"/>
  <c r="U14" i="1"/>
  <c r="V10" i="1"/>
  <c r="X31" i="1"/>
  <c r="P22" i="1"/>
  <c r="R24" i="1"/>
  <c r="W47" i="1"/>
  <c r="Q20" i="1"/>
  <c r="V30" i="1"/>
  <c r="U11" i="1"/>
  <c r="V28" i="1"/>
  <c r="P14" i="1"/>
  <c r="Q12" i="1"/>
  <c r="X30" i="1"/>
  <c r="V47" i="1"/>
  <c r="Q28" i="1"/>
  <c r="U29" i="1"/>
  <c r="S32" i="1"/>
  <c r="W25" i="1"/>
  <c r="U47" i="1"/>
  <c r="Q13" i="1"/>
  <c r="P10" i="1"/>
  <c r="U17" i="1"/>
  <c r="Q17" i="1"/>
  <c r="Q19" i="1"/>
  <c r="V20" i="1"/>
  <c r="Q18" i="1"/>
  <c r="V8" i="1"/>
  <c r="P30" i="1"/>
  <c r="W8" i="1"/>
  <c r="Q24" i="1"/>
  <c r="V14" i="1"/>
  <c r="V24" i="1"/>
  <c r="U27" i="1"/>
  <c r="U25" i="1"/>
  <c r="P16" i="1"/>
  <c r="W31" i="1"/>
  <c r="V9" i="1"/>
  <c r="V18" i="1"/>
  <c r="U12" i="1"/>
  <c r="Q25" i="1"/>
  <c r="X47" i="1"/>
  <c r="R32" i="1"/>
  <c r="Q9" i="1"/>
  <c r="S29" i="1"/>
  <c r="U20" i="1"/>
  <c r="Q27" i="1"/>
  <c r="P12" i="1"/>
  <c r="Q21" i="1"/>
  <c r="Q10" i="1"/>
  <c r="U28" i="1"/>
  <c r="V15" i="1"/>
  <c r="O33" i="1"/>
  <c r="O41" i="1"/>
  <c r="N35" i="1"/>
  <c r="N43" i="1"/>
  <c r="K25" i="1"/>
  <c r="J24" i="1"/>
  <c r="J32" i="1"/>
  <c r="I9" i="1"/>
  <c r="I17" i="1"/>
  <c r="O34" i="1"/>
  <c r="O42" i="1"/>
  <c r="N36" i="1"/>
  <c r="N44" i="1"/>
  <c r="I10" i="1"/>
  <c r="I18" i="1"/>
  <c r="I26" i="1"/>
  <c r="I34" i="1"/>
  <c r="I42" i="1"/>
  <c r="H11" i="1"/>
  <c r="H19" i="1"/>
  <c r="H27" i="1"/>
  <c r="H35" i="1"/>
  <c r="H43" i="1"/>
  <c r="K28" i="1"/>
  <c r="I20" i="1"/>
  <c r="I36" i="1"/>
  <c r="I44" i="1"/>
  <c r="L44" i="1" s="1"/>
  <c r="H21" i="1"/>
  <c r="H37" i="1"/>
  <c r="H45" i="1"/>
  <c r="V21" i="1"/>
  <c r="O35" i="1"/>
  <c r="O43" i="1"/>
  <c r="N37" i="1"/>
  <c r="N45" i="1"/>
  <c r="I11" i="1"/>
  <c r="I19" i="1"/>
  <c r="I27" i="1"/>
  <c r="I35" i="1"/>
  <c r="L35" i="1" s="1"/>
  <c r="I43" i="1"/>
  <c r="H12" i="1"/>
  <c r="H20" i="1"/>
  <c r="H28" i="1"/>
  <c r="H36" i="1"/>
  <c r="H44" i="1"/>
  <c r="I12" i="1"/>
  <c r="I28" i="1"/>
  <c r="H13" i="1"/>
  <c r="H29" i="1"/>
  <c r="O36" i="1"/>
  <c r="O44" i="1"/>
  <c r="N38" i="1"/>
  <c r="N46" i="1"/>
  <c r="O37" i="1"/>
  <c r="O45" i="1"/>
  <c r="N39" i="1"/>
  <c r="N47" i="1"/>
  <c r="I13" i="1"/>
  <c r="I21" i="1"/>
  <c r="I29" i="1"/>
  <c r="I37" i="1"/>
  <c r="L37" i="1" s="1"/>
  <c r="I45" i="1"/>
  <c r="H14" i="1"/>
  <c r="H22" i="1"/>
  <c r="H30" i="1"/>
  <c r="H38" i="1"/>
  <c r="H46" i="1"/>
  <c r="V13" i="1"/>
  <c r="V29" i="1"/>
  <c r="U23" i="1"/>
  <c r="P17" i="1"/>
  <c r="I24" i="1"/>
  <c r="V31" i="1"/>
  <c r="U24" i="1"/>
  <c r="P23" i="1"/>
  <c r="N33" i="1"/>
  <c r="K32" i="1"/>
  <c r="J29" i="1"/>
  <c r="I25" i="1"/>
  <c r="I41" i="1"/>
  <c r="H18" i="1"/>
  <c r="H34" i="1"/>
  <c r="N34" i="1"/>
  <c r="I30" i="1"/>
  <c r="I46" i="1"/>
  <c r="L46" i="1" s="1"/>
  <c r="H23" i="1"/>
  <c r="H39" i="1"/>
  <c r="H17" i="1"/>
  <c r="U31" i="1"/>
  <c r="Q23" i="1"/>
  <c r="N40" i="1"/>
  <c r="J31" i="1"/>
  <c r="I14" i="1"/>
  <c r="I31" i="1"/>
  <c r="I47" i="1"/>
  <c r="H24" i="1"/>
  <c r="H40" i="1"/>
  <c r="L40" i="1" s="1"/>
  <c r="I32" i="1"/>
  <c r="H25" i="1"/>
  <c r="P15" i="1"/>
  <c r="O46" i="1"/>
  <c r="X28" i="1"/>
  <c r="P31" i="1"/>
  <c r="N8" i="1"/>
  <c r="O32" i="1"/>
  <c r="N41" i="1"/>
  <c r="I15" i="1"/>
  <c r="H9" i="1"/>
  <c r="H41" i="1"/>
  <c r="O39" i="1"/>
  <c r="I38" i="1"/>
  <c r="H31" i="1"/>
  <c r="S31" i="1"/>
  <c r="Q15" i="1"/>
  <c r="I8" i="1"/>
  <c r="I39" i="1"/>
  <c r="L39" i="1" s="1"/>
  <c r="H32" i="1"/>
  <c r="H8" i="1"/>
  <c r="I40" i="1"/>
  <c r="Q31" i="1"/>
  <c r="O38" i="1"/>
  <c r="N42" i="1"/>
  <c r="K23" i="1"/>
  <c r="I16" i="1"/>
  <c r="I33" i="1"/>
  <c r="H10" i="1"/>
  <c r="H26" i="1"/>
  <c r="H42" i="1"/>
  <c r="L42" i="1" s="1"/>
  <c r="U15" i="1"/>
  <c r="I22" i="1"/>
  <c r="H15" i="1"/>
  <c r="H47" i="1"/>
  <c r="V23" i="1"/>
  <c r="U16" i="1"/>
  <c r="U8" i="1"/>
  <c r="R9" i="1"/>
  <c r="O40" i="1"/>
  <c r="I23" i="1"/>
  <c r="H16" i="1"/>
  <c r="K31" i="1"/>
  <c r="H33" i="1"/>
  <c r="L33" i="1" s="1"/>
  <c r="V17" i="1"/>
  <c r="P11" i="1"/>
  <c r="V26" i="1"/>
  <c r="P20" i="1"/>
  <c r="V11" i="1"/>
  <c r="Q29" i="1"/>
  <c r="Q14" i="1"/>
  <c r="P26" i="1"/>
  <c r="U22" i="1"/>
  <c r="V25" i="1"/>
  <c r="P19" i="1"/>
  <c r="P28" i="1"/>
  <c r="V19" i="1"/>
  <c r="P13" i="1"/>
  <c r="Q22" i="1"/>
  <c r="U13" i="1"/>
  <c r="Q26" i="1"/>
  <c r="U26" i="1"/>
  <c r="S25" i="1"/>
  <c r="V22" i="1"/>
  <c r="P24" i="1"/>
  <c r="P27" i="1"/>
  <c r="V27" i="1"/>
  <c r="P21" i="1"/>
  <c r="V12" i="1"/>
  <c r="Q30" i="1"/>
  <c r="U21" i="1"/>
  <c r="R26" i="1"/>
  <c r="U30" i="1"/>
  <c r="W23" i="1"/>
  <c r="V16" i="1"/>
  <c r="U10" i="1"/>
  <c r="P32" i="1"/>
  <c r="U18" i="1"/>
  <c r="P9" i="1"/>
  <c r="Q32" i="1"/>
  <c r="X24" i="1"/>
  <c r="U9" i="1"/>
  <c r="W14" i="1"/>
  <c r="AD9" i="1"/>
  <c r="L47" i="1"/>
  <c r="L41" i="1"/>
  <c r="L45" i="1"/>
  <c r="L38" i="1"/>
  <c r="L43" i="1"/>
  <c r="L36" i="1"/>
  <c r="AD24" i="1"/>
  <c r="X21" i="1" s="1"/>
  <c r="AD15" i="1"/>
  <c r="J14" i="1" s="1"/>
  <c r="AD27" i="1"/>
  <c r="W24" i="1" s="1"/>
  <c r="AD16" i="1"/>
  <c r="S15" i="1" s="1"/>
  <c r="AD33" i="1"/>
  <c r="W29" i="1" s="1"/>
  <c r="AD25" i="1"/>
  <c r="S23" i="1" s="1"/>
  <c r="AD30" i="1"/>
  <c r="AD21" i="1"/>
  <c r="K19" i="1" s="1"/>
  <c r="AD12" i="1"/>
  <c r="X10" i="1" s="1"/>
  <c r="AD11" i="1"/>
  <c r="W10" i="1" s="1"/>
  <c r="AD22" i="1"/>
  <c r="R21" i="1" s="1"/>
  <c r="AD13" i="1"/>
  <c r="W12" i="1" s="1"/>
  <c r="AD34" i="1"/>
  <c r="X29" i="1" s="1"/>
  <c r="AD23" i="1"/>
  <c r="R22" i="1" s="1"/>
  <c r="AD29" i="1"/>
  <c r="J26" i="1" s="1"/>
  <c r="AD20" i="1"/>
  <c r="AD19" i="1"/>
  <c r="J18" i="1" s="1"/>
  <c r="AD17" i="1"/>
  <c r="AD31" i="1"/>
  <c r="R29" i="1" s="1"/>
  <c r="AD14" i="1"/>
  <c r="S13" i="1" s="1"/>
  <c r="AD18" i="1"/>
  <c r="K16" i="1" s="1"/>
  <c r="AD10" i="1"/>
  <c r="X9" i="1" s="1"/>
  <c r="L32" i="1" l="1"/>
  <c r="Y47" i="1"/>
  <c r="L31" i="1"/>
  <c r="S30" i="1"/>
  <c r="R20" i="1"/>
  <c r="J30" i="1"/>
  <c r="K17" i="1"/>
  <c r="K22" i="1"/>
  <c r="L22" i="1" s="1"/>
  <c r="J13" i="1"/>
  <c r="K14" i="1"/>
  <c r="L26" i="1"/>
  <c r="W19" i="1"/>
  <c r="L8" i="1"/>
  <c r="W13" i="1"/>
  <c r="L34" i="1"/>
  <c r="X19" i="1"/>
  <c r="W16" i="1"/>
  <c r="R12" i="1"/>
  <c r="K30" i="1"/>
  <c r="J15" i="1"/>
  <c r="J12" i="1"/>
  <c r="K10" i="1"/>
  <c r="L10" i="1" s="1"/>
  <c r="R31" i="1"/>
  <c r="T31" i="1" s="1"/>
  <c r="AA31" i="1" s="1" a="1"/>
  <c r="AA31" i="1" s="1"/>
  <c r="K13" i="1"/>
  <c r="R28" i="1"/>
  <c r="X26" i="1"/>
  <c r="X8" i="1"/>
  <c r="Y8" i="1" s="1"/>
  <c r="W9" i="1"/>
  <c r="X46" i="1"/>
  <c r="W46" i="1"/>
  <c r="U46" i="1"/>
  <c r="V46" i="1"/>
  <c r="S14" i="1"/>
  <c r="R11" i="1"/>
  <c r="X23" i="1"/>
  <c r="Y23" i="1" s="1"/>
  <c r="R16" i="1"/>
  <c r="V40" i="1"/>
  <c r="W40" i="1"/>
  <c r="X40" i="1"/>
  <c r="U40" i="1"/>
  <c r="K24" i="1"/>
  <c r="P41" i="1"/>
  <c r="Q41" i="1"/>
  <c r="R41" i="1"/>
  <c r="S41" i="1"/>
  <c r="S9" i="1"/>
  <c r="T9" i="1" s="1"/>
  <c r="AA9" i="1" s="1" a="1"/>
  <c r="AA9" i="1" s="1"/>
  <c r="R17" i="1"/>
  <c r="X13" i="1"/>
  <c r="K29" i="1"/>
  <c r="L29" i="1" s="1"/>
  <c r="U36" i="1"/>
  <c r="V36" i="1"/>
  <c r="W36" i="1"/>
  <c r="X36" i="1"/>
  <c r="X35" i="1"/>
  <c r="U35" i="1"/>
  <c r="V35" i="1"/>
  <c r="W35" i="1"/>
  <c r="S44" i="1"/>
  <c r="R44" i="1"/>
  <c r="Q44" i="1"/>
  <c r="P44" i="1"/>
  <c r="K9" i="1"/>
  <c r="S20" i="1"/>
  <c r="T20" i="1" s="1"/>
  <c r="S11" i="1"/>
  <c r="W27" i="1"/>
  <c r="W44" i="1"/>
  <c r="U44" i="1"/>
  <c r="V44" i="1"/>
  <c r="X44" i="1"/>
  <c r="X43" i="1"/>
  <c r="U43" i="1"/>
  <c r="V43" i="1"/>
  <c r="W43" i="1"/>
  <c r="X22" i="1"/>
  <c r="J21" i="1"/>
  <c r="X27" i="1"/>
  <c r="K21" i="1"/>
  <c r="S36" i="1"/>
  <c r="R36" i="1"/>
  <c r="Q36" i="1"/>
  <c r="P36" i="1"/>
  <c r="S43" i="1"/>
  <c r="R43" i="1"/>
  <c r="T43" i="1" s="1"/>
  <c r="Q43" i="1"/>
  <c r="P43" i="1"/>
  <c r="S27" i="1"/>
  <c r="R10" i="1"/>
  <c r="J27" i="1"/>
  <c r="K27" i="1"/>
  <c r="J25" i="1"/>
  <c r="L25" i="1" s="1"/>
  <c r="U42" i="1"/>
  <c r="V42" i="1"/>
  <c r="W42" i="1"/>
  <c r="Y42" i="1" s="1"/>
  <c r="X42" i="1"/>
  <c r="S35" i="1"/>
  <c r="R35" i="1"/>
  <c r="T35" i="1" s="1"/>
  <c r="Q35" i="1"/>
  <c r="P35" i="1"/>
  <c r="W15" i="1"/>
  <c r="S24" i="1"/>
  <c r="T24" i="1" s="1"/>
  <c r="AA24" i="1" s="1" a="1"/>
  <c r="AA24" i="1" s="1"/>
  <c r="W30" i="1"/>
  <c r="Y30" i="1" s="1"/>
  <c r="S12" i="1"/>
  <c r="T12" i="1" s="1"/>
  <c r="R13" i="1"/>
  <c r="T13" i="1" s="1"/>
  <c r="V32" i="1"/>
  <c r="W32" i="1"/>
  <c r="X32" i="1"/>
  <c r="U32" i="1"/>
  <c r="W22" i="1"/>
  <c r="Y22" i="1" s="1"/>
  <c r="J23" i="1"/>
  <c r="L23" i="1" s="1"/>
  <c r="X11" i="1"/>
  <c r="W17" i="1"/>
  <c r="S17" i="1"/>
  <c r="S10" i="1"/>
  <c r="J11" i="1"/>
  <c r="J17" i="1"/>
  <c r="U34" i="1"/>
  <c r="V34" i="1"/>
  <c r="W34" i="1"/>
  <c r="X34" i="1"/>
  <c r="U41" i="1"/>
  <c r="V41" i="1"/>
  <c r="W41" i="1"/>
  <c r="X41" i="1"/>
  <c r="S28" i="1"/>
  <c r="T28" i="1" s="1"/>
  <c r="X14" i="1"/>
  <c r="Y14" i="1" s="1"/>
  <c r="R18" i="1"/>
  <c r="T18" i="1" s="1"/>
  <c r="R25" i="1"/>
  <c r="T25" i="1" s="1"/>
  <c r="K20" i="1"/>
  <c r="K11" i="1"/>
  <c r="J9" i="1"/>
  <c r="U33" i="1"/>
  <c r="V33" i="1"/>
  <c r="W33" i="1"/>
  <c r="X33" i="1"/>
  <c r="R30" i="1"/>
  <c r="T30" i="1" s="1"/>
  <c r="X16" i="1"/>
  <c r="Y16" i="1" s="1"/>
  <c r="J10" i="1"/>
  <c r="X15" i="1"/>
  <c r="S16" i="1"/>
  <c r="T16" i="1" s="1"/>
  <c r="W39" i="1"/>
  <c r="X39" i="1"/>
  <c r="V39" i="1"/>
  <c r="U39" i="1"/>
  <c r="P8" i="1"/>
  <c r="Q8" i="1"/>
  <c r="R8" i="1"/>
  <c r="T8" i="1" s="1"/>
  <c r="S8" i="1"/>
  <c r="K15" i="1"/>
  <c r="L15" i="1" s="1"/>
  <c r="S22" i="1"/>
  <c r="T22" i="1" s="1"/>
  <c r="AA22" i="1" s="1" a="1"/>
  <c r="AA22" i="1" s="1"/>
  <c r="S42" i="1"/>
  <c r="R42" i="1"/>
  <c r="Q42" i="1"/>
  <c r="P42" i="1"/>
  <c r="J22" i="1"/>
  <c r="X20" i="1"/>
  <c r="S34" i="1"/>
  <c r="R34" i="1"/>
  <c r="Q34" i="1"/>
  <c r="P34" i="1"/>
  <c r="R33" i="1"/>
  <c r="S33" i="1"/>
  <c r="P33" i="1"/>
  <c r="Q33" i="1"/>
  <c r="P47" i="1"/>
  <c r="Q47" i="1"/>
  <c r="R47" i="1"/>
  <c r="S47" i="1"/>
  <c r="W28" i="1"/>
  <c r="Y28" i="1" s="1"/>
  <c r="R19" i="1"/>
  <c r="S18" i="1"/>
  <c r="W18" i="1"/>
  <c r="X17" i="1"/>
  <c r="R15" i="1"/>
  <c r="T15" i="1" s="1"/>
  <c r="X38" i="1"/>
  <c r="U38" i="1"/>
  <c r="W38" i="1"/>
  <c r="V38" i="1"/>
  <c r="Q40" i="1"/>
  <c r="R40" i="1"/>
  <c r="S40" i="1"/>
  <c r="P40" i="1"/>
  <c r="T40" i="1" s="1"/>
  <c r="X12" i="1"/>
  <c r="Y12" i="1" s="1"/>
  <c r="Q39" i="1"/>
  <c r="R39" i="1"/>
  <c r="S39" i="1"/>
  <c r="P39" i="1"/>
  <c r="K12" i="1"/>
  <c r="L12" i="1" s="1"/>
  <c r="S26" i="1"/>
  <c r="T26" i="1" s="1"/>
  <c r="R27" i="1"/>
  <c r="X25" i="1"/>
  <c r="Y25" i="1" s="1"/>
  <c r="S19" i="1"/>
  <c r="X18" i="1"/>
  <c r="W21" i="1"/>
  <c r="R23" i="1"/>
  <c r="T23" i="1" s="1"/>
  <c r="J28" i="1"/>
  <c r="L28" i="1" s="1"/>
  <c r="V45" i="1"/>
  <c r="U45" i="1"/>
  <c r="X45" i="1"/>
  <c r="W45" i="1"/>
  <c r="S46" i="1"/>
  <c r="R46" i="1"/>
  <c r="Q46" i="1"/>
  <c r="P46" i="1"/>
  <c r="S45" i="1"/>
  <c r="R45" i="1"/>
  <c r="Q45" i="1"/>
  <c r="P45" i="1"/>
  <c r="K26" i="1"/>
  <c r="J16" i="1"/>
  <c r="L16" i="1" s="1"/>
  <c r="W11" i="1"/>
  <c r="J20" i="1"/>
  <c r="V37" i="1"/>
  <c r="U37" i="1"/>
  <c r="W37" i="1"/>
  <c r="X37" i="1"/>
  <c r="S38" i="1"/>
  <c r="R38" i="1"/>
  <c r="Q38" i="1"/>
  <c r="P38" i="1"/>
  <c r="S37" i="1"/>
  <c r="R37" i="1"/>
  <c r="Q37" i="1"/>
  <c r="P37" i="1"/>
  <c r="W20" i="1"/>
  <c r="J19" i="1"/>
  <c r="L19" i="1" s="1"/>
  <c r="K18" i="1"/>
  <c r="S21" i="1"/>
  <c r="T21" i="1" s="1"/>
  <c r="W26" i="1"/>
  <c r="Y26" i="1" s="1"/>
  <c r="R14" i="1"/>
  <c r="T14" i="1" s="1"/>
  <c r="Y29" i="1"/>
  <c r="Y40" i="1"/>
  <c r="T39" i="1"/>
  <c r="T32" i="1"/>
  <c r="Y24" i="1"/>
  <c r="Y32" i="1"/>
  <c r="AA32" i="1" s="1" a="1"/>
  <c r="AA32" i="1" s="1"/>
  <c r="Y31" i="1"/>
  <c r="L11" i="1"/>
  <c r="Y10" i="1"/>
  <c r="T29" i="1"/>
  <c r="Y9" i="1"/>
  <c r="L14" i="1"/>
  <c r="Y21" i="1"/>
  <c r="L13" i="1"/>
  <c r="L24" i="1"/>
  <c r="L18" i="1"/>
  <c r="L20" i="1" l="1"/>
  <c r="Y18" i="1"/>
  <c r="Y20" i="1"/>
  <c r="AA28" i="1" a="1"/>
  <c r="AA28" i="1" s="1"/>
  <c r="T46" i="1"/>
  <c r="Y13" i="1"/>
  <c r="AA40" i="1" a="1"/>
  <c r="AA40" i="1" s="1"/>
  <c r="T42" i="1"/>
  <c r="Y45" i="1"/>
  <c r="Y17" i="1"/>
  <c r="L21" i="1"/>
  <c r="T44" i="1"/>
  <c r="AA44" i="1" s="1" a="1"/>
  <c r="AA44" i="1" s="1"/>
  <c r="D44" i="1" s="1"/>
  <c r="E44" i="1" s="1"/>
  <c r="Y37" i="1"/>
  <c r="T27" i="1"/>
  <c r="L17" i="1"/>
  <c r="Y15" i="1"/>
  <c r="L30" i="1"/>
  <c r="Y44" i="1"/>
  <c r="Y33" i="1"/>
  <c r="AA8" i="1" a="1"/>
  <c r="AA8" i="1" s="1"/>
  <c r="T45" i="1"/>
  <c r="AA45" i="1" s="1" a="1"/>
  <c r="AA45" i="1" s="1"/>
  <c r="D45" i="1" s="1"/>
  <c r="E45" i="1" s="1"/>
  <c r="Y38" i="1"/>
  <c r="T10" i="1"/>
  <c r="Y35" i="1"/>
  <c r="AA35" i="1" s="1" a="1"/>
  <c r="AA35" i="1" s="1"/>
  <c r="D35" i="1" s="1"/>
  <c r="E35" i="1" s="1"/>
  <c r="T17" i="1"/>
  <c r="Y46" i="1"/>
  <c r="AA46" i="1" s="1" a="1"/>
  <c r="AA46" i="1" s="1"/>
  <c r="D46" i="1" s="1"/>
  <c r="E46" i="1" s="1"/>
  <c r="Y19" i="1"/>
  <c r="T34" i="1"/>
  <c r="Y39" i="1"/>
  <c r="AA39" i="1" s="1" a="1"/>
  <c r="AA39" i="1" s="1"/>
  <c r="D39" i="1" s="1"/>
  <c r="E39" i="1" s="1"/>
  <c r="Y11" i="1"/>
  <c r="AA12" i="1" a="1"/>
  <c r="AA12" i="1" s="1"/>
  <c r="D12" i="1" s="1"/>
  <c r="E12" i="1" s="1"/>
  <c r="L9" i="1"/>
  <c r="AA30" i="1" a="1"/>
  <c r="AA30" i="1" s="1"/>
  <c r="D30" i="1" s="1"/>
  <c r="E30" i="1" s="1"/>
  <c r="T33" i="1"/>
  <c r="AA18" i="1" a="1"/>
  <c r="AA18" i="1" s="1"/>
  <c r="D18" i="1" s="1"/>
  <c r="E18" i="1" s="1"/>
  <c r="Y34" i="1"/>
  <c r="AA34" i="1" s="1" a="1"/>
  <c r="AA34" i="1" s="1"/>
  <c r="D34" i="1" s="1"/>
  <c r="E34" i="1" s="1"/>
  <c r="T47" i="1"/>
  <c r="AA47" i="1" s="1" a="1"/>
  <c r="AA47" i="1" s="1"/>
  <c r="D47" i="1" s="1"/>
  <c r="E47" i="1" s="1"/>
  <c r="T38" i="1"/>
  <c r="AA38" i="1" s="1" a="1"/>
  <c r="AA38" i="1" s="1"/>
  <c r="T19" i="1"/>
  <c r="AA19" i="1" s="1" a="1"/>
  <c r="AA19" i="1" s="1"/>
  <c r="D19" i="1" s="1"/>
  <c r="E19" i="1" s="1"/>
  <c r="Y36" i="1"/>
  <c r="T41" i="1"/>
  <c r="T11" i="1"/>
  <c r="AA11" i="1" s="1" a="1"/>
  <c r="AA11" i="1" s="1"/>
  <c r="D11" i="1" s="1"/>
  <c r="E11" i="1" s="1"/>
  <c r="T37" i="1"/>
  <c r="AA37" i="1" s="1" a="1"/>
  <c r="AA37" i="1" s="1"/>
  <c r="D37" i="1" s="1"/>
  <c r="E37" i="1" s="1"/>
  <c r="T36" i="1"/>
  <c r="Y43" i="1"/>
  <c r="Y27" i="1"/>
  <c r="AA13" i="1" a="1"/>
  <c r="AA13" i="1" s="1"/>
  <c r="D13" i="1" s="1"/>
  <c r="E13" i="1" s="1"/>
  <c r="AA43" i="1" a="1"/>
  <c r="AA43" i="1" s="1"/>
  <c r="D43" i="1" s="1"/>
  <c r="E43" i="1" s="1"/>
  <c r="AA14" i="1" a="1"/>
  <c r="AA14" i="1" s="1"/>
  <c r="D14" i="1" s="1"/>
  <c r="E14" i="1" s="1"/>
  <c r="AA16" i="1" a="1"/>
  <c r="AA16" i="1" s="1"/>
  <c r="D16" i="1" s="1"/>
  <c r="E16" i="1" s="1"/>
  <c r="AA23" i="1" a="1"/>
  <c r="AA23" i="1" s="1"/>
  <c r="D23" i="1" s="1"/>
  <c r="E23" i="1" s="1"/>
  <c r="AA10" i="1" a="1"/>
  <c r="AA10" i="1" s="1"/>
  <c r="D10" i="1" s="1"/>
  <c r="E10" i="1" s="1"/>
  <c r="AA21" i="1" a="1"/>
  <c r="AA21" i="1" s="1"/>
  <c r="D21" i="1" s="1"/>
  <c r="E21" i="1" s="1"/>
  <c r="AA29" i="1" a="1"/>
  <c r="AA29" i="1" s="1"/>
  <c r="D29" i="1" s="1"/>
  <c r="E29" i="1" s="1"/>
  <c r="AA42" i="1" a="1"/>
  <c r="AA42" i="1" s="1"/>
  <c r="D42" i="1" s="1"/>
  <c r="E42" i="1" s="1"/>
  <c r="AA17" i="1" a="1"/>
  <c r="AA17" i="1" s="1"/>
  <c r="D17" i="1" s="1"/>
  <c r="E17" i="1" s="1"/>
  <c r="AA25" i="1" a="1"/>
  <c r="AA25" i="1" s="1"/>
  <c r="D25" i="1" s="1"/>
  <c r="E25" i="1" s="1"/>
  <c r="AA20" i="1" a="1"/>
  <c r="AA20" i="1" s="1"/>
  <c r="D20" i="1" s="1"/>
  <c r="E20" i="1" s="1"/>
  <c r="AA15" i="1" a="1"/>
  <c r="AA15" i="1" s="1"/>
  <c r="D15" i="1" s="1"/>
  <c r="E15" i="1" s="1"/>
  <c r="AA26" i="1" a="1"/>
  <c r="AA26" i="1" s="1"/>
  <c r="D26" i="1" s="1"/>
  <c r="E26" i="1" s="1"/>
  <c r="Y41" i="1"/>
  <c r="D38" i="1"/>
  <c r="E38" i="1" s="1"/>
  <c r="AA27" i="1" a="1"/>
  <c r="AA27" i="1" s="1"/>
  <c r="D27" i="1" s="1"/>
  <c r="E27" i="1" s="1"/>
  <c r="L27" i="1"/>
  <c r="D40" i="1"/>
  <c r="E40" i="1" s="1"/>
  <c r="D8" i="1"/>
  <c r="E8" i="1" s="1"/>
  <c r="D32" i="1"/>
  <c r="E32" i="1" s="1"/>
  <c r="D31" i="1"/>
  <c r="E31" i="1" s="1"/>
  <c r="D9" i="1"/>
  <c r="E9" i="1" s="1"/>
  <c r="D24" i="1"/>
  <c r="E24" i="1" s="1"/>
  <c r="D28" i="1"/>
  <c r="E28" i="1" s="1"/>
  <c r="D22" i="1"/>
  <c r="E22" i="1" s="1"/>
  <c r="AA33" i="1" l="1" a="1"/>
  <c r="AA33" i="1" s="1"/>
  <c r="D33" i="1" s="1"/>
  <c r="E33" i="1" s="1"/>
  <c r="AA36" i="1" a="1"/>
  <c r="AA36" i="1" s="1"/>
  <c r="D36" i="1" s="1"/>
  <c r="E36" i="1" s="1"/>
  <c r="AA41" i="1" a="1"/>
  <c r="AA41" i="1" s="1"/>
  <c r="D41" i="1" s="1"/>
  <c r="E41" i="1" s="1"/>
  <c r="B50" i="1" l="1"/>
  <c r="B52"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<sst xmlns="http://schemas.openxmlformats.org/spreadsheetml/2006/main" count="158" uniqueCount="80">
  <si>
    <t>Options:</t>
  </si>
  <si>
    <t>Cross Stream Distance (m)</t>
  </si>
  <si>
    <t>TRUE LEFT BANK</t>
  </si>
  <si>
    <t>Depth (m)</t>
  </si>
  <si>
    <t>Notes:</t>
  </si>
  <si>
    <t>TRUE RIGHT BANK</t>
  </si>
  <si>
    <t>Cross Stream Distance To Surface Velocity (m)</t>
  </si>
  <si>
    <t>Surface Velocity (m/s)</t>
  </si>
  <si>
    <t>Area Bin (m^2)</t>
  </si>
  <si>
    <t>Discharge Bin (m^3/s)</t>
  </si>
  <si>
    <t>Extra Calculations Needed For Area Bins</t>
  </si>
  <si>
    <t>Depth at Left Side Of Bin (m)</t>
  </si>
  <si>
    <t>Left Side Of Bin (m)</t>
  </si>
  <si>
    <t>Right Side Of Bin (m)</t>
  </si>
  <si>
    <t>Depth at Right Side Of Bin (m)</t>
  </si>
  <si>
    <t>Left Y1</t>
  </si>
  <si>
    <t>Left Y2</t>
  </si>
  <si>
    <t>Right Y1</t>
  </si>
  <si>
    <t>Right Y2</t>
  </si>
  <si>
    <t>Depth at Centre Of Bin (m)</t>
  </si>
  <si>
    <t>Total Discharge (m^3/s):</t>
  </si>
  <si>
    <t>Nasty trapezoidal integration between left bin edge and right bin edge following cross section (m^2)</t>
  </si>
  <si>
    <t>Copy last point of cross section to fill available cells</t>
  </si>
  <si>
    <t>The edges of surface velocity bins (i.e. dA) are equidistant between surface velocity measurement locations. Except for first and last bins, which extend to the left bank and right bank of the cross section.</t>
  </si>
  <si>
    <t>Trapezoidal integration is used to find the area of each surface velocity bin. This integration follows the cross section profile between the left and right edges of the bins.</t>
  </si>
  <si>
    <t>Notes on calculations:</t>
  </si>
  <si>
    <t>This method of finding the area of each surface velocity bin along the cross section profile is much more accurate than simply using the bin edge points.</t>
  </si>
  <si>
    <t>Password to unlock the workbook is: UNLOCK</t>
  </si>
  <si>
    <t>Please copy and rename the workbook before unlocking it and editing.</t>
  </si>
  <si>
    <t>First Measurement Is At Left Bank Reference Peg (y_PLB)</t>
  </si>
  <si>
    <t>Original Cross Section Waters Edge LB</t>
  </si>
  <si>
    <t>Original Cross Section Waters Edge RB</t>
  </si>
  <si>
    <t>Alpha (default = 0.857)</t>
  </si>
  <si>
    <t>In the plot below, dry points on the channel banks (i.e. above the water surface level) are assigned zero depth as there is no flow there.</t>
  </si>
  <si>
    <t>This plot shows the cross section at the new water level, which will be used in the 'Velocity and Discharge' calculations.</t>
  </si>
  <si>
    <t>If no staff gauge, then just peg the waters edge and copy the 'Original Survey Staff Water Level' above.</t>
  </si>
  <si>
    <t>Option 2: Water Level Change (m)</t>
  </si>
  <si>
    <t>Option to use</t>
  </si>
  <si>
    <t>Lower values on the original survey staff are deeper (less distance to waters surface)</t>
  </si>
  <si>
    <t>Inputs:</t>
  </si>
  <si>
    <t>Type: "Option 1" or "Option 2"</t>
  </si>
  <si>
    <t>Type: "Original WL" or "New WL"</t>
  </si>
  <si>
    <t>Cross Section Water Level To Use</t>
  </si>
  <si>
    <t>Cross Section To Plot</t>
  </si>
  <si>
    <t>NIWA Surface Velocimetry Discharge Calculator</t>
  </si>
  <si>
    <t xml:space="preserve"> </t>
  </si>
  <si>
    <t>Total Wetted Area (m^3):</t>
  </si>
  <si>
    <t>For alpha estimation methods see: Biggs, H., Smart, G., Holwerda, N., Doyle, M., McDonald, M. &amp; Ede, M. (2021). River discharge from surface velocity measurements - A field guide for selecting alpha. Envirolink Advice Report. Christchurch, New Zealand.</t>
  </si>
  <si>
    <t>Discharge calculator orginally developed in MATLAB, then an additional Excel version developed for use without MATLAB software.</t>
  </si>
  <si>
    <t>Cross Section Spreadsheet</t>
  </si>
  <si>
    <t>Bed Elevation (m)
Relative to staff gauge zero or peg on bank</t>
  </si>
  <si>
    <t>New Water Level (m)</t>
  </si>
  <si>
    <t>If no staff gauge is present, then measure the change in water level relative to the original water level during the 1st survey.  + is deeper (higher flow), - is shallower (lower flow)</t>
  </si>
  <si>
    <t>Last Measurement Is At Right Bank Reference Peg (y_PRB)</t>
  </si>
  <si>
    <t>Option 1</t>
  </si>
  <si>
    <t>Option 1: New Water Level On Staff Gauge (m)
Or elevation relative to datum pin on channel bank</t>
  </si>
  <si>
    <t>Original Water Level On Staff Gauge (if present) (m)
Or elevation relative to a datum peg on channel bank</t>
  </si>
  <si>
    <t>New WL</t>
  </si>
  <si>
    <t>The surveyed cross section should include points up channel banks for higher flows.</t>
  </si>
  <si>
    <t>For shallow wadable rivers the survey cross section could be measured in one go using a dumpy and survey staff, total station, or RTK GPS.</t>
  </si>
  <si>
    <t>For deeper rivers, the wet part of the cross section will likely need to be measured using an ADCP (i.e. in sections using SxS Pro or similar), with dry points on the channel banks surveyed using the above methods.</t>
  </si>
  <si>
    <t>The surveyed cross section needs to be as 'elevation' relative to some datum, such as a staff gauge zero, or a reference peg on the channel bank. When measuring down from a reference peg on a channel bank  (i.e. z=0 at the peg) elevations will be negative, and points above the reference peg will be positive.</t>
  </si>
  <si>
    <t>Use the 'Original Cross Section - 1st WL' sheet to input the surveyed cross section and original water level</t>
  </si>
  <si>
    <t>Use the 'Updated Cross Section - New WL' to input the new water level, or water level elevation change relative to the 1st survey</t>
  </si>
  <si>
    <t>This discharge calculator was originally developed by NIWA for work in Fiji and has been modified to generalise it for use in New Zealand. It is provided without any warranties or guarantees.</t>
  </si>
  <si>
    <t>Peg the start and end points of the cross section.  y_PLB=0 , and y_PRB=width of cross section (i.e. distance between pegs). Surface velocity measurement locations are also relative to these pegs.</t>
  </si>
  <si>
    <t>Copy the last point of cross section to fill available cells.</t>
  </si>
  <si>
    <t>Left D1</t>
  </si>
  <si>
    <t>Left D2</t>
  </si>
  <si>
    <t>Right D2</t>
  </si>
  <si>
    <t>Right D1</t>
  </si>
  <si>
    <t>** Much easier to to code in MATLAB (or other languages) where variable array sizes are easily handled.</t>
  </si>
  <si>
    <t>*Complexity in the formula arises from variable number of depth point between bin edges.</t>
  </si>
  <si>
    <t>Centre Of Bin Left XS Point Y1</t>
  </si>
  <si>
    <t>Centre Of Bin Right XS Point Y2</t>
  </si>
  <si>
    <t>Centre Of Bin Right XS Point D2</t>
  </si>
  <si>
    <t>Centre Of Bin Left XS Point D1</t>
  </si>
  <si>
    <t>Use the 'Velocity and Discharge' sheet to input surface velocity measurement locations, surface velocities, alpha values, and calculate discharge.</t>
  </si>
  <si>
    <t>Surface velocity measurement locations can be irregularly spaced and don’t need to match the cross section measurement locations.</t>
  </si>
  <si>
    <t>Contact Hamish.Biggs@niwa.co.nz if you need to modify this calculator (i.e. adding extra rows) or are having any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</si>
</sst>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sz val="8"/>
      <name val="Calibri"/>
      <family val="2"/>
      <scheme val="minor"/>
    </font>
  </fonts>
  <fills count="3">
    <fill>
      <patternFill patternType="none"/>
    </fill>
    <fill>
      <patternFill patternType="gray125"/>
    </fill>
    <fill>
      <patternFill patternType="solid">
        <fgColor rgb="FF92D05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3">
    <xf numFmtId="0" fontId="0" fillId="0" borderId="0" xfId="0"/>
    <xf numFmtId="0" fontId="0" fillId="0" borderId="2" xfId="0" applyBorder="1"/>
    <xf numFmtId="0" fontId="0" fillId="0" borderId="3" xfId="0" applyBorder="1"/>
    <xf numFmtId="0" fontId="0" fillId="0" borderId="5" xfId="0" applyBorder="1"/>
    <xf numFmtId="0" fontId="0" fillId="0" borderId="6" xfId="0" applyBorder="1"/>
    <xf numFmtId="0" fontId="0" fillId="0" borderId="7" xfId="0" applyBorder="1"/>
    <xf numFmtId="0" fontId="1" fillId="0" borderId="0" xfId="0" applyFont="1"/>
    <xf numFmtId="0" fontId="1" fillId="0" borderId="10" xfId="0" applyFont="1" applyBorder="1"/>
    <xf numFmtId="0" fontId="0" fillId="0" borderId="15" xfId="0" applyBorder="1"/>
    <xf numFmtId="0" fontId="1" fillId="0" borderId="8" xfId="0" applyFont="1" applyBorder="1"/>
    <xf numFmtId="0" fontId="1" fillId="0" borderId="16" xfId="0" applyFont="1" applyBorder="1"/>
    <xf numFmtId="0" fontId="1" fillId="0" borderId="9" xfId="0" applyFont="1" applyBorder="1"/>
    <xf numFmtId="0" fontId="0" fillId="0" borderId="14" xfId="0" applyBorder="1"/>
    <xf numFmtId="0" fontId="1" fillId="0" borderId="17" xfId="0" applyFont="1" applyBorder="1"/>
    <xf numFmtId="0" fontId="0" fillId="0" borderId="18" xfId="0" applyBorder="1"/>
    <xf numFmtId="0" fontId="0" fillId="0" borderId="20" xfId="0" applyBorder="1"/>
    <xf numFmtId="0" fontId="1" fillId="0" borderId="21" xfId="0" applyFont="1" applyBorder="1"/>
    <xf numFmtId="0" fontId="0" fillId="0" borderId="22" xfId="0" applyBorder="1"/>
    <xf numFmtId="0" fontId="0" fillId="0" borderId="23" xfId="0" applyBorder="1"/>
    <xf numFmtId="0" fontId="0" fillId="0" borderId="24" xfId="0" applyBorder="1"/>
    <xf numFmtId="0" fontId="1" fillId="0" borderId="25" xfId="0" applyFont="1" applyBorder="1"/>
    <xf numFmtId="0" fontId="1" fillId="0" borderId="26" xfId="0" applyFont="1" applyBorder="1"/>
    <xf numFmtId="0" fontId="2" fillId="0" borderId="1" xfId="0" applyFont="1" applyBorder="1"/>
    <xf numFmtId="0" fontId="3" fillId="0" borderId="1" xfId="0" applyFont="1" applyBorder="1"/>
    <xf numFmtId="0" fontId="2" fillId="0" borderId="0" xfId="0" applyFont="1"/>
    <xf numFmtId="0" fontId="2" fillId="0" borderId="23" xfId="0" applyFont="1" applyBorder="1"/>
    <xf numFmtId="0" fontId="3" fillId="0" borderId="23" xfId="0" applyFont="1" applyBorder="1"/>
    <xf numFmtId="0" fontId="3" fillId="0" borderId="0" xfId="0" applyFont="1"/>
    <xf numFmtId="0" fontId="2" fillId="0" borderId="12" xfId="0" applyFont="1" applyBorder="1"/>
    <xf numFmtId="0" fontId="3" fillId="0" borderId="27" xfId="0" applyFont="1" applyBorder="1"/>
    <xf numFmtId="0" fontId="0" fillId="0" borderId="27" xfId="0" applyBorder="1"/>
    <xf numFmtId="0" fontId="0" fillId="0" borderId="0" xfId="0" applyAlignment="1">
      <alignment wrapText="1"/>
    </xf>
    <xf numFmtId="0" fontId="0" fillId="2" borderId="4" xfId="0" applyFill="1" applyBorder="1" applyProtection="1">
      <protection locked="0"/>
    </xf>
    <xf numFmtId="0" fontId="0" fillId="2" borderId="1" xfId="0" applyFill="1" applyBorder="1" applyProtection="1">
      <protection locked="0"/>
    </xf>
    <xf numFmtId="0" fontId="0" fillId="2" borderId="19" xfId="0" applyFill="1" applyBorder="1" applyProtection="1">
      <protection locked="0"/>
    </xf>
    <xf numFmtId="0" fontId="0" fillId="2" borderId="23" xfId="0" applyFill="1" applyBorder="1" applyProtection="1">
      <protection locked="0"/>
    </xf>
    <xf numFmtId="0" fontId="1" fillId="0" borderId="11" xfId="0" applyFont="1" applyBorder="1"/>
    <xf numFmtId="0" fontId="0" fillId="2" borderId="31" xfId="0" applyFill="1" applyBorder="1" applyAlignment="1" applyProtection="1">
      <alignment horizontal="center" vertical="center"/>
      <protection locked="0"/>
    </xf>
    <xf numFmtId="0" fontId="0" fillId="0" borderId="13" xfId="0" applyBorder="1" applyAlignment="1">
      <alignment horizontal="left" vertical="center" wrapText="1"/>
    </xf>
    <xf numFmtId="0" fontId="0" fillId="2" borderId="27" xfId="0" applyFill="1" applyBorder="1" applyAlignment="1" applyProtection="1">
      <alignment horizontal="center" vertical="center"/>
      <protection locked="0"/>
    </xf>
    <xf numFmtId="0" fontId="0" fillId="2" borderId="12" xfId="0" applyFill="1" applyBorder="1" applyProtection="1">
      <protection locked="0"/>
    </xf>
    <xf numFmtId="0" fontId="0" fillId="0" borderId="11" xfId="0" applyBorder="1"/>
    <xf numFmtId="0" fontId="0" fillId="0" borderId="28" xfId="0" applyBorder="1"/>
    <xf numFmtId="0" fontId="0" fillId="0" borderId="29" xfId="0" applyBorder="1" applyAlignment="1">
      <alignment vertical="center"/>
    </xf>
    <xf numFmtId="0" fontId="0" fillId="0" borderId="19" xfId="0" applyBorder="1" applyAlignment="1">
      <alignment vertical="center" wrapText="1"/>
    </xf>
    <xf numFmtId="0" fontId="0" fillId="0" borderId="31" xfId="0" applyBorder="1" applyAlignment="1">
      <alignment vertical="center"/>
    </xf>
    <xf numFmtId="0" fontId="0" fillId="0" borderId="13" xfId="0" applyBorder="1" applyAlignment="1">
      <alignment horizontal="center" vertical="center"/>
    </xf>
    <xf numFmtId="0" fontId="0" fillId="0" borderId="20" xfId="0" applyBorder="1" applyAlignment="1">
      <alignment vertical="center" wrapText="1"/>
    </xf>
    <xf numFmtId="0" fontId="0" fillId="0" borderId="29" xfId="0" applyBorder="1"/>
    <xf numFmtId="0" fontId="0" fillId="0" borderId="1" xfId="0" applyBorder="1"/>
    <xf numFmtId="0" fontId="0" fillId="0" borderId="4" xfId="0" applyBorder="1"/>
    <xf numFmtId="0" fontId="0" fillId="0" borderId="32" xfId="0" applyBorder="1"/>
    <xf numFmtId="0" fontId="0" fillId="2" borderId="30" xfId="0" applyFill="1" applyBorder="1" applyProtection="1">
      <protection locked="0"/>
    </xf>
    <xf numFmtId="0" fontId="0" fillId="0" borderId="33" xfId="0" applyBorder="1"/>
    <xf numFmtId="0" fontId="1" fillId="0" borderId="2" xfId="0" applyFont="1" applyBorder="1"/>
    <xf numFmtId="0" fontId="1" fillId="0" borderId="3" xfId="0" applyFont="1" applyBorder="1"/>
    <xf numFmtId="0" fontId="1" fillId="0" borderId="30" xfId="0" applyFont="1" applyBorder="1"/>
    <xf numFmtId="49" fontId="0" fillId="0" borderId="19" xfId="0" applyNumberFormat="1" applyBorder="1"/>
    <xf numFmtId="49" fontId="0" fillId="2" borderId="19" xfId="0" applyNumberFormat="1" applyFill="1" applyBorder="1" applyProtection="1">
      <protection locked="0"/>
    </xf>
    <xf numFmtId="0" fontId="1" fillId="0" borderId="16" xfId="0" applyFont="1" applyBorder="1" applyAlignment="1">
      <alignment wrapText="1"/>
    </xf>
    <xf numFmtId="0" fontId="0" fillId="0" borderId="29" xfId="0" applyBorder="1" applyAlignment="1">
      <alignment vertical="center" wrapText="1"/>
    </xf>
    <xf numFmtId="0" fontId="0" fillId="2" borderId="1" xfId="0" applyNumberFormat="1" applyFill="1" applyBorder="1" applyProtection="1">
      <protection locked="0"/>
    </xf>
    <xf numFmtId="0" fontId="1" fillId="0" borderId="0" xfId="0" applyFont="1" applyFill="1" applyBorder="1"/>
  </cellXfs>
  <cellStyles count="1">
    <cellStyle name="Normal" xfId="0" builtinId="0"/>
  </cellStyles>
  <dxfs count="0"/>
  <tableStyles count="0" defaultTableStyle="TableStyleMedium2" defaultPivotStyle="PivotStyleLight16"/>
  <colors>
    <mruColors>
      <color rgb="FFC000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1"/>
          <c:order val="0"/>
          <c:tx>
            <c:v>Cross Section</c:v>
          </c:tx>
          <c:spPr>
            <a:ln w="28575" cap="rnd">
              <a:solidFill>
                <a:srgbClr val="0070C0"/>
              </a:solidFill>
              <a:round/>
            </a:ln>
            <a:effectLst/>
          </c:spPr>
          <c:marker>
            <c:symbol val="square"/>
            <c:size val="3"/>
            <c:spPr>
              <a:noFill/>
              <a:ln w="38100">
                <a:solidFill>
                  <a:srgbClr val="FF0000"/>
                </a:solidFill>
              </a:ln>
              <a:effectLst/>
            </c:spPr>
          </c:marker>
          <c:xVal>
            <c:numRef>
              <c:f>'Velocity and Discharge'!$AC$8:$AC$56</c:f>
              <c:numCache>
                <c:formatCode>General</c:formatCode>
                <c:ptCount val="49"/>
                <c:pt idx="0">
                  <c:v>0</c:v>
                </c:pt>
                <c:pt idx="1">
                  <c:v>1</c:v>
                </c:pt>
                <c:pt idx="2">
                  <c:v>2.2999999999999998</c:v>
                </c:pt>
                <c:pt idx="3">
                  <c:v>3.6</c:v>
                </c:pt>
                <c:pt idx="4">
                  <c:v>4.9000000000000004</c:v>
                </c:pt>
                <c:pt idx="5">
                  <c:v>6.2</c:v>
                </c:pt>
                <c:pt idx="6">
                  <c:v>7.5</c:v>
                </c:pt>
                <c:pt idx="7">
                  <c:v>8.8000000000000007</c:v>
                </c:pt>
                <c:pt idx="8">
                  <c:v>10.1</c:v>
                </c:pt>
                <c:pt idx="9">
                  <c:v>11.4</c:v>
                </c:pt>
                <c:pt idx="10">
                  <c:v>12.7</c:v>
                </c:pt>
                <c:pt idx="11">
                  <c:v>14</c:v>
                </c:pt>
                <c:pt idx="12">
                  <c:v>15.3</c:v>
                </c:pt>
                <c:pt idx="13">
                  <c:v>16.600000000000001</c:v>
                </c:pt>
                <c:pt idx="14">
                  <c:v>17.899999999999999</c:v>
                </c:pt>
                <c:pt idx="15">
                  <c:v>19.2</c:v>
                </c:pt>
                <c:pt idx="16">
                  <c:v>20.5</c:v>
                </c:pt>
                <c:pt idx="17">
                  <c:v>21.8</c:v>
                </c:pt>
                <c:pt idx="18">
                  <c:v>23.1</c:v>
                </c:pt>
                <c:pt idx="19">
                  <c:v>24.4</c:v>
                </c:pt>
                <c:pt idx="20">
                  <c:v>25.7</c:v>
                </c:pt>
                <c:pt idx="21">
                  <c:v>27</c:v>
                </c:pt>
                <c:pt idx="22">
                  <c:v>28.3</c:v>
                </c:pt>
                <c:pt idx="23">
                  <c:v>29.6</c:v>
                </c:pt>
                <c:pt idx="24">
                  <c:v>30.9</c:v>
                </c:pt>
                <c:pt idx="25">
                  <c:v>32.200000000000003</c:v>
                </c:pt>
                <c:pt idx="26">
                  <c:v>33.5</c:v>
                </c:pt>
                <c:pt idx="27">
                  <c:v>34.5</c:v>
                </c:pt>
                <c:pt idx="28">
                  <c:v>35.5</c:v>
                </c:pt>
                <c:pt idx="29">
                  <c:v>35.5</c:v>
                </c:pt>
                <c:pt idx="30">
                  <c:v>35.5</c:v>
                </c:pt>
                <c:pt idx="31">
                  <c:v>35.5</c:v>
                </c:pt>
                <c:pt idx="32">
                  <c:v>35.5</c:v>
                </c:pt>
                <c:pt idx="33">
                  <c:v>35.5</c:v>
                </c:pt>
                <c:pt idx="34">
                  <c:v>35.5</c:v>
                </c:pt>
                <c:pt idx="35">
                  <c:v>35.5</c:v>
                </c:pt>
                <c:pt idx="36">
                  <c:v>35.5</c:v>
                </c:pt>
                <c:pt idx="37">
                  <c:v>35.5</c:v>
                </c:pt>
                <c:pt idx="38">
                  <c:v>35.5</c:v>
                </c:pt>
                <c:pt idx="39">
                  <c:v>35.5</c:v>
                </c:pt>
                <c:pt idx="40">
                  <c:v>35.5</c:v>
                </c:pt>
                <c:pt idx="41">
                  <c:v>35.5</c:v>
                </c:pt>
                <c:pt idx="42">
                  <c:v>35.5</c:v>
                </c:pt>
                <c:pt idx="43">
                  <c:v>35.5</c:v>
                </c:pt>
                <c:pt idx="44">
                  <c:v>35.5</c:v>
                </c:pt>
                <c:pt idx="45">
                  <c:v>35.5</c:v>
                </c:pt>
                <c:pt idx="46">
                  <c:v>35.5</c:v>
                </c:pt>
                <c:pt idx="47">
                  <c:v>35.5</c:v>
                </c:pt>
                <c:pt idx="48">
                  <c:v>35.5</c:v>
                </c:pt>
              </c:numCache>
            </c:numRef>
          </c:xVal>
          <c:yVal>
            <c:numRef>
              <c:f>'Velocity and Discharge'!$AD$8:$AD$56</c:f>
              <c:numCache>
                <c:formatCode>General</c:formatCode>
                <c:ptCount val="49"/>
                <c:pt idx="0">
                  <c:v>0</c:v>
                </c:pt>
                <c:pt idx="1">
                  <c:v>0.2200000000000002</c:v>
                </c:pt>
                <c:pt idx="2">
                  <c:v>0.42000000000000015</c:v>
                </c:pt>
                <c:pt idx="3">
                  <c:v>0.83000000000000007</c:v>
                </c:pt>
                <c:pt idx="4">
                  <c:v>0.91400000000000015</c:v>
                </c:pt>
                <c:pt idx="5">
                  <c:v>1.0340000000000003</c:v>
                </c:pt>
                <c:pt idx="6">
                  <c:v>1.0700000000000003</c:v>
                </c:pt>
                <c:pt idx="7">
                  <c:v>1.1740000000000002</c:v>
                </c:pt>
                <c:pt idx="8">
                  <c:v>1.1830000000000003</c:v>
                </c:pt>
                <c:pt idx="9">
                  <c:v>1.4110000000000003</c:v>
                </c:pt>
                <c:pt idx="10">
                  <c:v>1.4950000000000001</c:v>
                </c:pt>
                <c:pt idx="11">
                  <c:v>1.5690000000000002</c:v>
                </c:pt>
                <c:pt idx="12">
                  <c:v>1.6510000000000002</c:v>
                </c:pt>
                <c:pt idx="13">
                  <c:v>1.7050000000000001</c:v>
                </c:pt>
                <c:pt idx="14">
                  <c:v>1.6890000000000003</c:v>
                </c:pt>
                <c:pt idx="15">
                  <c:v>1.6250000000000002</c:v>
                </c:pt>
                <c:pt idx="16">
                  <c:v>1.61</c:v>
                </c:pt>
                <c:pt idx="17">
                  <c:v>1.6250000000000002</c:v>
                </c:pt>
                <c:pt idx="18">
                  <c:v>1.5950000000000002</c:v>
                </c:pt>
                <c:pt idx="19">
                  <c:v>1.5860000000000001</c:v>
                </c:pt>
                <c:pt idx="20">
                  <c:v>1.4760000000000002</c:v>
                </c:pt>
                <c:pt idx="21">
                  <c:v>1.3980000000000001</c:v>
                </c:pt>
                <c:pt idx="22">
                  <c:v>1.3540000000000001</c:v>
                </c:pt>
                <c:pt idx="23">
                  <c:v>1.2910000000000001</c:v>
                </c:pt>
                <c:pt idx="24">
                  <c:v>1.3690000000000002</c:v>
                </c:pt>
                <c:pt idx="25">
                  <c:v>1.2760000000000002</c:v>
                </c:pt>
                <c:pt idx="26">
                  <c:v>0.42000000000000015</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numCache>
            </c:numRef>
          </c:yVal>
          <c:smooth val="0"/>
          <c:extLst>
            <c:ext xmlns:c16="http://schemas.microsoft.com/office/drawing/2014/chart" uri="{C3380CC4-5D6E-409C-BE32-E72D297353CC}">
              <c16:uniqueId val="{00000000-EE4D-4B77-8094-E6F27A5F15C1}"/>
            </c:ext>
          </c:extLst>
        </c:ser>
        <c:ser>
          <c:idx val="0"/>
          <c:order val="1"/>
          <c:tx>
            <c:v>Velocity Measurements</c:v>
          </c:tx>
          <c:spPr>
            <a:ln w="28575" cap="rnd">
              <a:noFill/>
              <a:round/>
            </a:ln>
            <a:effectLst/>
          </c:spPr>
          <c:marker>
            <c:symbol val="x"/>
            <c:size val="8"/>
            <c:spPr>
              <a:noFill/>
              <a:ln w="38100">
                <a:solidFill>
                  <a:srgbClr val="00B050"/>
                </a:solidFill>
              </a:ln>
              <a:effectLst/>
            </c:spPr>
          </c:marker>
          <c:xVal>
            <c:numRef>
              <c:f>'Velocity and Discharge'!$A$8:$A$47</c:f>
              <c:numCache>
                <c:formatCode>General</c:formatCode>
                <c:ptCount val="40"/>
                <c:pt idx="0">
                  <c:v>0</c:v>
                </c:pt>
                <c:pt idx="1">
                  <c:v>1.5</c:v>
                </c:pt>
                <c:pt idx="2">
                  <c:v>3</c:v>
                </c:pt>
                <c:pt idx="3">
                  <c:v>4.5</c:v>
                </c:pt>
                <c:pt idx="4">
                  <c:v>6</c:v>
                </c:pt>
                <c:pt idx="5">
                  <c:v>7.5</c:v>
                </c:pt>
                <c:pt idx="6">
                  <c:v>9</c:v>
                </c:pt>
                <c:pt idx="7">
                  <c:v>10.5</c:v>
                </c:pt>
                <c:pt idx="8">
                  <c:v>12</c:v>
                </c:pt>
                <c:pt idx="9">
                  <c:v>13.5</c:v>
                </c:pt>
                <c:pt idx="10">
                  <c:v>15</c:v>
                </c:pt>
                <c:pt idx="11">
                  <c:v>16.5</c:v>
                </c:pt>
                <c:pt idx="12">
                  <c:v>18</c:v>
                </c:pt>
                <c:pt idx="13">
                  <c:v>19.5</c:v>
                </c:pt>
                <c:pt idx="14">
                  <c:v>21</c:v>
                </c:pt>
                <c:pt idx="15">
                  <c:v>22.5</c:v>
                </c:pt>
                <c:pt idx="16">
                  <c:v>24</c:v>
                </c:pt>
                <c:pt idx="17">
                  <c:v>25.5</c:v>
                </c:pt>
                <c:pt idx="18">
                  <c:v>27</c:v>
                </c:pt>
                <c:pt idx="19">
                  <c:v>28.5</c:v>
                </c:pt>
                <c:pt idx="20">
                  <c:v>30</c:v>
                </c:pt>
                <c:pt idx="21">
                  <c:v>31.5</c:v>
                </c:pt>
                <c:pt idx="22">
                  <c:v>33</c:v>
                </c:pt>
                <c:pt idx="23">
                  <c:v>34</c:v>
                </c:pt>
                <c:pt idx="24">
                  <c:v>35.5</c:v>
                </c:pt>
              </c:numCache>
            </c:numRef>
          </c:xVal>
          <c:yVal>
            <c:numRef>
              <c:f>'Velocity and Discharge'!$L$8:$L$47</c:f>
              <c:numCache>
                <c:formatCode>General</c:formatCode>
                <c:ptCount val="40"/>
                <c:pt idx="0">
                  <c:v>0</c:v>
                </c:pt>
                <c:pt idx="1">
                  <c:v>0.29692307692307712</c:v>
                </c:pt>
                <c:pt idx="2">
                  <c:v>0.64076923076923087</c:v>
                </c:pt>
                <c:pt idx="3">
                  <c:v>0.88815384615384629</c:v>
                </c:pt>
                <c:pt idx="4">
                  <c:v>1.0155384615384615</c:v>
                </c:pt>
                <c:pt idx="5">
                  <c:v>1.0700000000000003</c:v>
                </c:pt>
                <c:pt idx="6">
                  <c:v>1.1753846153846155</c:v>
                </c:pt>
                <c:pt idx="7">
                  <c:v>1.2531538461538465</c:v>
                </c:pt>
                <c:pt idx="8">
                  <c:v>1.4497692307692311</c:v>
                </c:pt>
                <c:pt idx="9">
                  <c:v>1.5405384615384616</c:v>
                </c:pt>
                <c:pt idx="10">
                  <c:v>1.6320769230769234</c:v>
                </c:pt>
                <c:pt idx="11">
                  <c:v>1.7008461538461537</c:v>
                </c:pt>
                <c:pt idx="12">
                  <c:v>1.6840769230769235</c:v>
                </c:pt>
                <c:pt idx="13">
                  <c:v>1.6215384615384618</c:v>
                </c:pt>
                <c:pt idx="14">
                  <c:v>1.6157692307692308</c:v>
                </c:pt>
                <c:pt idx="15">
                  <c:v>1.608846153846154</c:v>
                </c:pt>
                <c:pt idx="16">
                  <c:v>1.5887692307692307</c:v>
                </c:pt>
                <c:pt idx="17">
                  <c:v>1.4929230769230766</c:v>
                </c:pt>
                <c:pt idx="18">
                  <c:v>1.3980000000000001</c:v>
                </c:pt>
                <c:pt idx="19">
                  <c:v>1.3443076923076924</c:v>
                </c:pt>
                <c:pt idx="20">
                  <c:v>1.3150000000000002</c:v>
                </c:pt>
                <c:pt idx="21">
                  <c:v>1.3260769230769234</c:v>
                </c:pt>
                <c:pt idx="22">
                  <c:v>0.74923076923076692</c:v>
                </c:pt>
                <c:pt idx="23">
                  <c:v>0.21000000000000085</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numCache>
            </c:numRef>
          </c:yVal>
          <c:smooth val="0"/>
          <c:extLst>
            <c:ext xmlns:c16="http://schemas.microsoft.com/office/drawing/2014/chart" uri="{C3380CC4-5D6E-409C-BE32-E72D297353CC}">
              <c16:uniqueId val="{00000002-EE4D-4B77-8094-E6F27A5F15C1}"/>
            </c:ext>
          </c:extLst>
        </c:ser>
        <c:ser>
          <c:idx val="2"/>
          <c:order val="2"/>
          <c:tx>
            <c:v>Area Bin Left</c:v>
          </c:tx>
          <c:spPr>
            <a:ln w="28575" cap="rnd">
              <a:noFill/>
              <a:round/>
            </a:ln>
            <a:effectLst/>
          </c:spPr>
          <c:marker>
            <c:symbol val="plus"/>
            <c:size val="10"/>
            <c:spPr>
              <a:noFill/>
              <a:ln w="22225">
                <a:solidFill>
                  <a:srgbClr val="C00097"/>
                </a:solidFill>
              </a:ln>
              <a:effectLst/>
            </c:spPr>
          </c:marker>
          <c:xVal>
            <c:numRef>
              <c:f>'Velocity and Discharge'!$N$8:$N$47</c:f>
              <c:numCache>
                <c:formatCode>General</c:formatCode>
                <c:ptCount val="40"/>
                <c:pt idx="0">
                  <c:v>0</c:v>
                </c:pt>
                <c:pt idx="1">
                  <c:v>0.75</c:v>
                </c:pt>
                <c:pt idx="2">
                  <c:v>2.25</c:v>
                </c:pt>
                <c:pt idx="3">
                  <c:v>3.75</c:v>
                </c:pt>
                <c:pt idx="4">
                  <c:v>5.25</c:v>
                </c:pt>
                <c:pt idx="5">
                  <c:v>6.75</c:v>
                </c:pt>
                <c:pt idx="6">
                  <c:v>8.25</c:v>
                </c:pt>
                <c:pt idx="7">
                  <c:v>9.75</c:v>
                </c:pt>
                <c:pt idx="8">
                  <c:v>11.25</c:v>
                </c:pt>
                <c:pt idx="9">
                  <c:v>12.75</c:v>
                </c:pt>
                <c:pt idx="10">
                  <c:v>14.25</c:v>
                </c:pt>
                <c:pt idx="11">
                  <c:v>15.75</c:v>
                </c:pt>
                <c:pt idx="12">
                  <c:v>17.25</c:v>
                </c:pt>
                <c:pt idx="13">
                  <c:v>18.75</c:v>
                </c:pt>
                <c:pt idx="14">
                  <c:v>20.25</c:v>
                </c:pt>
                <c:pt idx="15">
                  <c:v>21.75</c:v>
                </c:pt>
                <c:pt idx="16">
                  <c:v>23.25</c:v>
                </c:pt>
                <c:pt idx="17">
                  <c:v>24.75</c:v>
                </c:pt>
                <c:pt idx="18">
                  <c:v>26.25</c:v>
                </c:pt>
                <c:pt idx="19">
                  <c:v>27.75</c:v>
                </c:pt>
                <c:pt idx="20">
                  <c:v>29.25</c:v>
                </c:pt>
                <c:pt idx="21">
                  <c:v>30.75</c:v>
                </c:pt>
                <c:pt idx="22">
                  <c:v>32.25</c:v>
                </c:pt>
                <c:pt idx="23">
                  <c:v>33.5</c:v>
                </c:pt>
                <c:pt idx="24">
                  <c:v>34.75</c:v>
                </c:pt>
                <c:pt idx="25">
                  <c:v>35.5</c:v>
                </c:pt>
                <c:pt idx="26">
                  <c:v>35.5</c:v>
                </c:pt>
                <c:pt idx="27">
                  <c:v>35.5</c:v>
                </c:pt>
                <c:pt idx="28">
                  <c:v>35.5</c:v>
                </c:pt>
                <c:pt idx="29">
                  <c:v>35.5</c:v>
                </c:pt>
                <c:pt idx="30">
                  <c:v>35.5</c:v>
                </c:pt>
                <c:pt idx="31">
                  <c:v>35.5</c:v>
                </c:pt>
                <c:pt idx="32">
                  <c:v>35.5</c:v>
                </c:pt>
                <c:pt idx="33">
                  <c:v>35.5</c:v>
                </c:pt>
                <c:pt idx="34">
                  <c:v>35.5</c:v>
                </c:pt>
                <c:pt idx="35">
                  <c:v>35.5</c:v>
                </c:pt>
                <c:pt idx="36">
                  <c:v>35.5</c:v>
                </c:pt>
                <c:pt idx="37">
                  <c:v>35.5</c:v>
                </c:pt>
                <c:pt idx="38">
                  <c:v>35.5</c:v>
                </c:pt>
                <c:pt idx="39">
                  <c:v>35.5</c:v>
                </c:pt>
              </c:numCache>
            </c:numRef>
          </c:xVal>
          <c:yVal>
            <c:numRef>
              <c:f>'Velocity and Discharge'!$T$8:$T$47</c:f>
              <c:numCache>
                <c:formatCode>General</c:formatCode>
                <c:ptCount val="40"/>
                <c:pt idx="0">
                  <c:v>0</c:v>
                </c:pt>
                <c:pt idx="1">
                  <c:v>0.16500000000000015</c:v>
                </c:pt>
                <c:pt idx="2">
                  <c:v>0.41230769230769249</c:v>
                </c:pt>
                <c:pt idx="3">
                  <c:v>0.83969230769230774</c:v>
                </c:pt>
                <c:pt idx="4">
                  <c:v>0.94630769230769229</c:v>
                </c:pt>
                <c:pt idx="5">
                  <c:v>1.0492307692307696</c:v>
                </c:pt>
                <c:pt idx="6">
                  <c:v>1.1300000000000003</c:v>
                </c:pt>
                <c:pt idx="7">
                  <c:v>1.1805769230769232</c:v>
                </c:pt>
                <c:pt idx="8">
                  <c:v>1.3846923076923079</c:v>
                </c:pt>
                <c:pt idx="9">
                  <c:v>1.497846153846154</c:v>
                </c:pt>
                <c:pt idx="10">
                  <c:v>1.5847692307692309</c:v>
                </c:pt>
                <c:pt idx="11">
                  <c:v>1.6696923076923076</c:v>
                </c:pt>
                <c:pt idx="12">
                  <c:v>1.6970000000000001</c:v>
                </c:pt>
                <c:pt idx="13">
                  <c:v>1.6471538461538464</c:v>
                </c:pt>
                <c:pt idx="14">
                  <c:v>1.6128846153846155</c:v>
                </c:pt>
                <c:pt idx="15">
                  <c:v>1.6244230769230772</c:v>
                </c:pt>
                <c:pt idx="16">
                  <c:v>1.5939615384615384</c:v>
                </c:pt>
                <c:pt idx="17">
                  <c:v>1.5563846153846148</c:v>
                </c:pt>
                <c:pt idx="18">
                  <c:v>1.4430000000000005</c:v>
                </c:pt>
                <c:pt idx="19">
                  <c:v>1.3726153846153846</c:v>
                </c:pt>
                <c:pt idx="20">
                  <c:v>1.3079615384615388</c:v>
                </c:pt>
                <c:pt idx="21">
                  <c:v>1.3600000000000003</c:v>
                </c:pt>
                <c:pt idx="22">
                  <c:v>1.2430769230769236</c:v>
                </c:pt>
                <c:pt idx="23">
                  <c:v>0.42000000000000015</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numCache>
            </c:numRef>
          </c:yVal>
          <c:smooth val="0"/>
          <c:extLst>
            <c:ext xmlns:c16="http://schemas.microsoft.com/office/drawing/2014/chart" uri="{C3380CC4-5D6E-409C-BE32-E72D297353CC}">
              <c16:uniqueId val="{00000003-EE4D-4B77-8094-E6F27A5F15C1}"/>
            </c:ext>
          </c:extLst>
        </c:ser>
        <c:ser>
          <c:idx val="3"/>
          <c:order val="3"/>
          <c:tx>
            <c:v>Area Bin Right</c:v>
          </c:tx>
          <c:spPr>
            <a:ln w="28575" cap="rnd">
              <a:noFill/>
              <a:round/>
            </a:ln>
            <a:effectLst/>
          </c:spPr>
          <c:marker>
            <c:symbol val="x"/>
            <c:size val="9"/>
            <c:spPr>
              <a:noFill/>
              <a:ln w="19050">
                <a:solidFill>
                  <a:schemeClr val="tx1"/>
                </a:solidFill>
              </a:ln>
              <a:effectLst/>
            </c:spPr>
          </c:marker>
          <c:xVal>
            <c:numRef>
              <c:f>'Velocity and Discharge'!$O$8:$O$47</c:f>
              <c:numCache>
                <c:formatCode>General</c:formatCode>
                <c:ptCount val="40"/>
                <c:pt idx="0">
                  <c:v>0.75</c:v>
                </c:pt>
                <c:pt idx="1">
                  <c:v>2.25</c:v>
                </c:pt>
                <c:pt idx="2">
                  <c:v>3.75</c:v>
                </c:pt>
                <c:pt idx="3">
                  <c:v>5.25</c:v>
                </c:pt>
                <c:pt idx="4">
                  <c:v>6.75</c:v>
                </c:pt>
                <c:pt idx="5">
                  <c:v>8.25</c:v>
                </c:pt>
                <c:pt idx="6">
                  <c:v>9.75</c:v>
                </c:pt>
                <c:pt idx="7">
                  <c:v>11.25</c:v>
                </c:pt>
                <c:pt idx="8">
                  <c:v>12.75</c:v>
                </c:pt>
                <c:pt idx="9">
                  <c:v>14.25</c:v>
                </c:pt>
                <c:pt idx="10">
                  <c:v>15.75</c:v>
                </c:pt>
                <c:pt idx="11">
                  <c:v>17.25</c:v>
                </c:pt>
                <c:pt idx="12">
                  <c:v>18.75</c:v>
                </c:pt>
                <c:pt idx="13">
                  <c:v>20.25</c:v>
                </c:pt>
                <c:pt idx="14">
                  <c:v>21.75</c:v>
                </c:pt>
                <c:pt idx="15">
                  <c:v>23.25</c:v>
                </c:pt>
                <c:pt idx="16">
                  <c:v>24.75</c:v>
                </c:pt>
                <c:pt idx="17">
                  <c:v>26.25</c:v>
                </c:pt>
                <c:pt idx="18">
                  <c:v>27.75</c:v>
                </c:pt>
                <c:pt idx="19">
                  <c:v>29.25</c:v>
                </c:pt>
                <c:pt idx="20">
                  <c:v>30.75</c:v>
                </c:pt>
                <c:pt idx="21">
                  <c:v>32.25</c:v>
                </c:pt>
                <c:pt idx="22">
                  <c:v>33.5</c:v>
                </c:pt>
                <c:pt idx="23">
                  <c:v>34.75</c:v>
                </c:pt>
                <c:pt idx="24">
                  <c:v>35.5</c:v>
                </c:pt>
                <c:pt idx="25">
                  <c:v>35.5</c:v>
                </c:pt>
                <c:pt idx="26">
                  <c:v>35.5</c:v>
                </c:pt>
                <c:pt idx="27">
                  <c:v>35.5</c:v>
                </c:pt>
                <c:pt idx="28">
                  <c:v>35.5</c:v>
                </c:pt>
                <c:pt idx="29">
                  <c:v>35.5</c:v>
                </c:pt>
                <c:pt idx="30">
                  <c:v>35.5</c:v>
                </c:pt>
                <c:pt idx="31">
                  <c:v>35.5</c:v>
                </c:pt>
                <c:pt idx="32">
                  <c:v>35.5</c:v>
                </c:pt>
                <c:pt idx="33">
                  <c:v>35.5</c:v>
                </c:pt>
                <c:pt idx="34">
                  <c:v>35.5</c:v>
                </c:pt>
                <c:pt idx="35">
                  <c:v>35.5</c:v>
                </c:pt>
                <c:pt idx="36">
                  <c:v>35.5</c:v>
                </c:pt>
                <c:pt idx="37">
                  <c:v>35.5</c:v>
                </c:pt>
                <c:pt idx="38">
                  <c:v>35.5</c:v>
                </c:pt>
                <c:pt idx="39">
                  <c:v>35.5</c:v>
                </c:pt>
              </c:numCache>
            </c:numRef>
          </c:xVal>
          <c:yVal>
            <c:numRef>
              <c:f>'Velocity and Discharge'!$Y$8:$Y$47</c:f>
              <c:numCache>
                <c:formatCode>General</c:formatCode>
                <c:ptCount val="40"/>
                <c:pt idx="0">
                  <c:v>0.16500000000000015</c:v>
                </c:pt>
                <c:pt idx="1">
                  <c:v>0.41230769230769249</c:v>
                </c:pt>
                <c:pt idx="2">
                  <c:v>0.83969230769230774</c:v>
                </c:pt>
                <c:pt idx="3">
                  <c:v>0.94630769230769229</c:v>
                </c:pt>
                <c:pt idx="4">
                  <c:v>1.0492307692307696</c:v>
                </c:pt>
                <c:pt idx="5">
                  <c:v>1.1300000000000003</c:v>
                </c:pt>
                <c:pt idx="6">
                  <c:v>1.1805769230769232</c:v>
                </c:pt>
                <c:pt idx="7">
                  <c:v>1.3846923076923079</c:v>
                </c:pt>
                <c:pt idx="8">
                  <c:v>1.497846153846154</c:v>
                </c:pt>
                <c:pt idx="9">
                  <c:v>1.5847692307692309</c:v>
                </c:pt>
                <c:pt idx="10">
                  <c:v>1.6696923076923076</c:v>
                </c:pt>
                <c:pt idx="11">
                  <c:v>1.6970000000000001</c:v>
                </c:pt>
                <c:pt idx="12">
                  <c:v>1.6471538461538464</c:v>
                </c:pt>
                <c:pt idx="13">
                  <c:v>1.6128846153846155</c:v>
                </c:pt>
                <c:pt idx="14">
                  <c:v>1.6244230769230772</c:v>
                </c:pt>
                <c:pt idx="15">
                  <c:v>1.5939615384615384</c:v>
                </c:pt>
                <c:pt idx="16">
                  <c:v>1.5563846153846148</c:v>
                </c:pt>
                <c:pt idx="17">
                  <c:v>1.4430000000000005</c:v>
                </c:pt>
                <c:pt idx="18">
                  <c:v>1.3726153846153846</c:v>
                </c:pt>
                <c:pt idx="19">
                  <c:v>1.3079615384615388</c:v>
                </c:pt>
                <c:pt idx="20">
                  <c:v>1.3600000000000003</c:v>
                </c:pt>
                <c:pt idx="21">
                  <c:v>1.2430769230769236</c:v>
                </c:pt>
                <c:pt idx="22">
                  <c:v>0.42000000000000015</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numCache>
            </c:numRef>
          </c:yVal>
          <c:smooth val="0"/>
          <c:extLst>
            <c:ext xmlns:c16="http://schemas.microsoft.com/office/drawing/2014/chart" uri="{C3380CC4-5D6E-409C-BE32-E72D297353CC}">
              <c16:uniqueId val="{00000004-EE4D-4B77-8094-E6F27A5F15C1}"/>
            </c:ext>
          </c:extLst>
        </c:ser>
        <c:dLbls>
          <c:showLegendKey val="0"/>
          <c:showVal val="0"/>
          <c:showCatName val="0"/>
          <c:showSerName val="0"/>
          <c:showPercent val="0"/>
          <c:showBubbleSize val="0"/>
        </c:dLbls>
        <c:axId val="738887088"/>
        <c:axId val="334927744"/>
      </c:scatterChart>
      <c:valAx>
        <c:axId val="738887088"/>
        <c:scaling>
          <c:orientation val="minMax"/>
        </c:scaling>
        <c:delete val="0"/>
        <c:axPos val="t"/>
        <c:title>
          <c:tx>
            <c:rich>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NZ" sz="1400"/>
                  <a:t>Cross Stream Distance</a:t>
                </a:r>
                <a:r>
                  <a:rPr lang="en-NZ" sz="1400" baseline="0"/>
                  <a:t> (m)</a:t>
                </a:r>
              </a:p>
            </c:rich>
          </c:tx>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34927744"/>
        <c:crosses val="autoZero"/>
        <c:crossBetween val="midCat"/>
      </c:valAx>
      <c:valAx>
        <c:axId val="334927744"/>
        <c:scaling>
          <c:orientation val="maxMin"/>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NZ" sz="1400"/>
                  <a:t>Depth (m)</a:t>
                </a:r>
              </a:p>
            </c:rich>
          </c:tx>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888708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Original Cross Section @</a:t>
            </a:r>
            <a:r>
              <a:rPr lang="en-NZ" baseline="0"/>
              <a:t> Original Water Level</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1"/>
          <c:order val="0"/>
          <c:tx>
            <c:v>Cross Section</c:v>
          </c:tx>
          <c:spPr>
            <a:ln w="28575" cap="rnd">
              <a:solidFill>
                <a:srgbClr val="0070C0"/>
              </a:solidFill>
              <a:round/>
            </a:ln>
            <a:effectLst/>
          </c:spPr>
          <c:marker>
            <c:symbol val="circle"/>
            <c:size val="5"/>
            <c:spPr>
              <a:solidFill>
                <a:schemeClr val="accent2"/>
              </a:solidFill>
              <a:ln w="9525">
                <a:solidFill>
                  <a:schemeClr val="accent2"/>
                </a:solidFill>
              </a:ln>
              <a:effectLst/>
            </c:spPr>
          </c:marker>
          <c:xVal>
            <c:numRef>
              <c:f>'Original Cross Section - 1st WL'!$A$8:$A$56</c:f>
              <c:numCache>
                <c:formatCode>General</c:formatCode>
                <c:ptCount val="49"/>
                <c:pt idx="0">
                  <c:v>0</c:v>
                </c:pt>
                <c:pt idx="1">
                  <c:v>1</c:v>
                </c:pt>
                <c:pt idx="2">
                  <c:v>2.2999999999999998</c:v>
                </c:pt>
                <c:pt idx="3">
                  <c:v>3.6</c:v>
                </c:pt>
                <c:pt idx="4">
                  <c:v>4.9000000000000004</c:v>
                </c:pt>
                <c:pt idx="5">
                  <c:v>6.2</c:v>
                </c:pt>
                <c:pt idx="6">
                  <c:v>7.5</c:v>
                </c:pt>
                <c:pt idx="7">
                  <c:v>8.8000000000000007</c:v>
                </c:pt>
                <c:pt idx="8">
                  <c:v>10.1</c:v>
                </c:pt>
                <c:pt idx="9">
                  <c:v>11.4</c:v>
                </c:pt>
                <c:pt idx="10">
                  <c:v>12.7</c:v>
                </c:pt>
                <c:pt idx="11">
                  <c:v>14</c:v>
                </c:pt>
                <c:pt idx="12">
                  <c:v>15.3</c:v>
                </c:pt>
                <c:pt idx="13">
                  <c:v>16.600000000000001</c:v>
                </c:pt>
                <c:pt idx="14">
                  <c:v>17.899999999999999</c:v>
                </c:pt>
                <c:pt idx="15">
                  <c:v>19.2</c:v>
                </c:pt>
                <c:pt idx="16">
                  <c:v>20.5</c:v>
                </c:pt>
                <c:pt idx="17">
                  <c:v>21.8</c:v>
                </c:pt>
                <c:pt idx="18">
                  <c:v>23.1</c:v>
                </c:pt>
                <c:pt idx="19">
                  <c:v>24.4</c:v>
                </c:pt>
                <c:pt idx="20">
                  <c:v>25.7</c:v>
                </c:pt>
                <c:pt idx="21">
                  <c:v>27</c:v>
                </c:pt>
                <c:pt idx="22">
                  <c:v>28.3</c:v>
                </c:pt>
                <c:pt idx="23">
                  <c:v>29.6</c:v>
                </c:pt>
                <c:pt idx="24">
                  <c:v>30.9</c:v>
                </c:pt>
                <c:pt idx="25">
                  <c:v>32.200000000000003</c:v>
                </c:pt>
                <c:pt idx="26">
                  <c:v>33.5</c:v>
                </c:pt>
                <c:pt idx="27">
                  <c:v>34.5</c:v>
                </c:pt>
                <c:pt idx="28">
                  <c:v>35.5</c:v>
                </c:pt>
                <c:pt idx="29">
                  <c:v>35.5</c:v>
                </c:pt>
                <c:pt idx="30">
                  <c:v>35.5</c:v>
                </c:pt>
                <c:pt idx="31">
                  <c:v>35.5</c:v>
                </c:pt>
                <c:pt idx="32">
                  <c:v>35.5</c:v>
                </c:pt>
                <c:pt idx="33">
                  <c:v>35.5</c:v>
                </c:pt>
                <c:pt idx="34">
                  <c:v>35.5</c:v>
                </c:pt>
                <c:pt idx="35">
                  <c:v>35.5</c:v>
                </c:pt>
                <c:pt idx="36">
                  <c:v>35.5</c:v>
                </c:pt>
                <c:pt idx="37">
                  <c:v>35.5</c:v>
                </c:pt>
                <c:pt idx="38">
                  <c:v>35.5</c:v>
                </c:pt>
                <c:pt idx="39">
                  <c:v>35.5</c:v>
                </c:pt>
                <c:pt idx="40">
                  <c:v>35.5</c:v>
                </c:pt>
                <c:pt idx="41">
                  <c:v>35.5</c:v>
                </c:pt>
                <c:pt idx="42">
                  <c:v>35.5</c:v>
                </c:pt>
                <c:pt idx="43">
                  <c:v>35.5</c:v>
                </c:pt>
                <c:pt idx="44">
                  <c:v>35.5</c:v>
                </c:pt>
                <c:pt idx="45">
                  <c:v>35.5</c:v>
                </c:pt>
                <c:pt idx="46">
                  <c:v>35.5</c:v>
                </c:pt>
                <c:pt idx="47">
                  <c:v>35.5</c:v>
                </c:pt>
                <c:pt idx="48">
                  <c:v>35.5</c:v>
                </c:pt>
              </c:numCache>
            </c:numRef>
          </c:xVal>
          <c:yVal>
            <c:numRef>
              <c:f>'Original Cross Section - 1st WL'!$C$8:$C$56</c:f>
              <c:numCache>
                <c:formatCode>General</c:formatCode>
                <c:ptCount val="49"/>
                <c:pt idx="0">
                  <c:v>0</c:v>
                </c:pt>
                <c:pt idx="1">
                  <c:v>0</c:v>
                </c:pt>
                <c:pt idx="2">
                  <c:v>0</c:v>
                </c:pt>
                <c:pt idx="3">
                  <c:v>0.40999999999999992</c:v>
                </c:pt>
                <c:pt idx="4">
                  <c:v>0.49399999999999999</c:v>
                </c:pt>
                <c:pt idx="5">
                  <c:v>0.6140000000000001</c:v>
                </c:pt>
                <c:pt idx="6">
                  <c:v>0.65000000000000013</c:v>
                </c:pt>
                <c:pt idx="7">
                  <c:v>0.754</c:v>
                </c:pt>
                <c:pt idx="8">
                  <c:v>0.76300000000000012</c:v>
                </c:pt>
                <c:pt idx="9">
                  <c:v>0.9910000000000001</c:v>
                </c:pt>
                <c:pt idx="10">
                  <c:v>1.075</c:v>
                </c:pt>
                <c:pt idx="11">
                  <c:v>1.149</c:v>
                </c:pt>
                <c:pt idx="12">
                  <c:v>1.2310000000000001</c:v>
                </c:pt>
                <c:pt idx="13">
                  <c:v>1.2849999999999999</c:v>
                </c:pt>
                <c:pt idx="14">
                  <c:v>1.2690000000000001</c:v>
                </c:pt>
                <c:pt idx="15">
                  <c:v>1.2050000000000001</c:v>
                </c:pt>
                <c:pt idx="16">
                  <c:v>1.19</c:v>
                </c:pt>
                <c:pt idx="17">
                  <c:v>1.2050000000000001</c:v>
                </c:pt>
                <c:pt idx="18">
                  <c:v>1.175</c:v>
                </c:pt>
                <c:pt idx="19">
                  <c:v>1.1659999999999999</c:v>
                </c:pt>
                <c:pt idx="20">
                  <c:v>1.056</c:v>
                </c:pt>
                <c:pt idx="21">
                  <c:v>0.97799999999999998</c:v>
                </c:pt>
                <c:pt idx="22">
                  <c:v>0.93399999999999994</c:v>
                </c:pt>
                <c:pt idx="23">
                  <c:v>0.871</c:v>
                </c:pt>
                <c:pt idx="24">
                  <c:v>0.94900000000000007</c:v>
                </c:pt>
                <c:pt idx="25">
                  <c:v>0.85600000000000009</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numCache>
            </c:numRef>
          </c:yVal>
          <c:smooth val="0"/>
          <c:extLst>
            <c:ext xmlns:c16="http://schemas.microsoft.com/office/drawing/2014/chart" uri="{C3380CC4-5D6E-409C-BE32-E72D297353CC}">
              <c16:uniqueId val="{00000001-BF15-45C2-B2EA-49EB802D45B8}"/>
            </c:ext>
          </c:extLst>
        </c:ser>
        <c:dLbls>
          <c:showLegendKey val="0"/>
          <c:showVal val="0"/>
          <c:showCatName val="0"/>
          <c:showSerName val="0"/>
          <c:showPercent val="0"/>
          <c:showBubbleSize val="0"/>
        </c:dLbls>
        <c:axId val="738887088"/>
        <c:axId val="334927744"/>
      </c:scatterChart>
      <c:valAx>
        <c:axId val="738887088"/>
        <c:scaling>
          <c:orientation val="minMax"/>
        </c:scaling>
        <c:delete val="0"/>
        <c:axPos val="t"/>
        <c:title>
          <c:tx>
            <c:rich>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NZ" sz="1400"/>
                  <a:t>Cross Stream Distance</a:t>
                </a:r>
                <a:r>
                  <a:rPr lang="en-NZ" sz="1400" baseline="0"/>
                  <a:t> (m)</a:t>
                </a:r>
              </a:p>
            </c:rich>
          </c:tx>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34927744"/>
        <c:crosses val="autoZero"/>
        <c:crossBetween val="midCat"/>
      </c:valAx>
      <c:valAx>
        <c:axId val="334927744"/>
        <c:scaling>
          <c:orientation val="maxMin"/>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NZ" sz="1400"/>
                  <a:t>Depth (m)</a:t>
                </a:r>
              </a:p>
            </c:rich>
          </c:tx>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888708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sz="1400" b="0" i="0" u="none" strike="noStrike" kern="1200" spc="0" baseline="0">
                <a:solidFill>
                  <a:sysClr val="windowText" lastClr="000000">
                    <a:lumMod val="65000"/>
                    <a:lumOff val="35000"/>
                  </a:sysClr>
                </a:solidFill>
              </a:rPr>
              <a:t>Cross Section @ New Water Level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1"/>
          <c:order val="0"/>
          <c:tx>
            <c:v>Cross Section</c:v>
          </c:tx>
          <c:spPr>
            <a:ln w="28575" cap="rnd">
              <a:solidFill>
                <a:srgbClr val="0070C0"/>
              </a:solidFill>
              <a:round/>
            </a:ln>
            <a:effectLst/>
          </c:spPr>
          <c:marker>
            <c:symbol val="circle"/>
            <c:size val="5"/>
            <c:spPr>
              <a:solidFill>
                <a:schemeClr val="accent2"/>
              </a:solidFill>
              <a:ln w="9525">
                <a:solidFill>
                  <a:schemeClr val="accent2"/>
                </a:solidFill>
              </a:ln>
              <a:effectLst/>
            </c:spPr>
          </c:marker>
          <c:xVal>
            <c:numRef>
              <c:f>'Updated Cross Section - New WL'!$A$9:$A$57</c:f>
              <c:numCache>
                <c:formatCode>General</c:formatCode>
                <c:ptCount val="49"/>
                <c:pt idx="0">
                  <c:v>0</c:v>
                </c:pt>
                <c:pt idx="1">
                  <c:v>1</c:v>
                </c:pt>
                <c:pt idx="2">
                  <c:v>2.2999999999999998</c:v>
                </c:pt>
                <c:pt idx="3">
                  <c:v>3.6</c:v>
                </c:pt>
                <c:pt idx="4">
                  <c:v>4.9000000000000004</c:v>
                </c:pt>
                <c:pt idx="5">
                  <c:v>6.2</c:v>
                </c:pt>
                <c:pt idx="6">
                  <c:v>7.5</c:v>
                </c:pt>
                <c:pt idx="7">
                  <c:v>8.8000000000000007</c:v>
                </c:pt>
                <c:pt idx="8">
                  <c:v>10.1</c:v>
                </c:pt>
                <c:pt idx="9">
                  <c:v>11.4</c:v>
                </c:pt>
                <c:pt idx="10">
                  <c:v>12.7</c:v>
                </c:pt>
                <c:pt idx="11">
                  <c:v>14</c:v>
                </c:pt>
                <c:pt idx="12">
                  <c:v>15.3</c:v>
                </c:pt>
                <c:pt idx="13">
                  <c:v>16.600000000000001</c:v>
                </c:pt>
                <c:pt idx="14">
                  <c:v>17.899999999999999</c:v>
                </c:pt>
                <c:pt idx="15">
                  <c:v>19.2</c:v>
                </c:pt>
                <c:pt idx="16">
                  <c:v>20.5</c:v>
                </c:pt>
                <c:pt idx="17">
                  <c:v>21.8</c:v>
                </c:pt>
                <c:pt idx="18">
                  <c:v>23.1</c:v>
                </c:pt>
                <c:pt idx="19">
                  <c:v>24.4</c:v>
                </c:pt>
                <c:pt idx="20">
                  <c:v>25.7</c:v>
                </c:pt>
                <c:pt idx="21">
                  <c:v>27</c:v>
                </c:pt>
                <c:pt idx="22">
                  <c:v>28.3</c:v>
                </c:pt>
                <c:pt idx="23">
                  <c:v>29.6</c:v>
                </c:pt>
                <c:pt idx="24">
                  <c:v>30.9</c:v>
                </c:pt>
                <c:pt idx="25">
                  <c:v>32.200000000000003</c:v>
                </c:pt>
                <c:pt idx="26">
                  <c:v>33.5</c:v>
                </c:pt>
                <c:pt idx="27">
                  <c:v>34.5</c:v>
                </c:pt>
                <c:pt idx="28">
                  <c:v>35.5</c:v>
                </c:pt>
                <c:pt idx="29">
                  <c:v>35.5</c:v>
                </c:pt>
                <c:pt idx="30">
                  <c:v>35.5</c:v>
                </c:pt>
                <c:pt idx="31">
                  <c:v>35.5</c:v>
                </c:pt>
                <c:pt idx="32">
                  <c:v>35.5</c:v>
                </c:pt>
                <c:pt idx="33">
                  <c:v>35.5</c:v>
                </c:pt>
                <c:pt idx="34">
                  <c:v>35.5</c:v>
                </c:pt>
                <c:pt idx="35">
                  <c:v>35.5</c:v>
                </c:pt>
                <c:pt idx="36">
                  <c:v>35.5</c:v>
                </c:pt>
                <c:pt idx="37">
                  <c:v>35.5</c:v>
                </c:pt>
                <c:pt idx="38">
                  <c:v>35.5</c:v>
                </c:pt>
                <c:pt idx="39">
                  <c:v>35.5</c:v>
                </c:pt>
                <c:pt idx="40">
                  <c:v>35.5</c:v>
                </c:pt>
                <c:pt idx="41">
                  <c:v>35.5</c:v>
                </c:pt>
                <c:pt idx="42">
                  <c:v>35.5</c:v>
                </c:pt>
                <c:pt idx="43">
                  <c:v>35.5</c:v>
                </c:pt>
                <c:pt idx="44">
                  <c:v>35.5</c:v>
                </c:pt>
                <c:pt idx="45">
                  <c:v>35.5</c:v>
                </c:pt>
                <c:pt idx="46">
                  <c:v>35.5</c:v>
                </c:pt>
                <c:pt idx="47">
                  <c:v>35.5</c:v>
                </c:pt>
                <c:pt idx="48">
                  <c:v>35.5</c:v>
                </c:pt>
              </c:numCache>
            </c:numRef>
          </c:xVal>
          <c:yVal>
            <c:numRef>
              <c:f>'Updated Cross Section - New WL'!$C$9:$C$57</c:f>
              <c:numCache>
                <c:formatCode>General</c:formatCode>
                <c:ptCount val="49"/>
                <c:pt idx="0">
                  <c:v>0</c:v>
                </c:pt>
                <c:pt idx="1">
                  <c:v>0.2200000000000002</c:v>
                </c:pt>
                <c:pt idx="2">
                  <c:v>0.42000000000000015</c:v>
                </c:pt>
                <c:pt idx="3">
                  <c:v>0.83000000000000007</c:v>
                </c:pt>
                <c:pt idx="4">
                  <c:v>0.91400000000000015</c:v>
                </c:pt>
                <c:pt idx="5">
                  <c:v>1.0340000000000003</c:v>
                </c:pt>
                <c:pt idx="6">
                  <c:v>1.0700000000000003</c:v>
                </c:pt>
                <c:pt idx="7">
                  <c:v>1.1740000000000002</c:v>
                </c:pt>
                <c:pt idx="8">
                  <c:v>1.1830000000000003</c:v>
                </c:pt>
                <c:pt idx="9">
                  <c:v>1.4110000000000003</c:v>
                </c:pt>
                <c:pt idx="10">
                  <c:v>1.4950000000000001</c:v>
                </c:pt>
                <c:pt idx="11">
                  <c:v>1.5690000000000002</c:v>
                </c:pt>
                <c:pt idx="12">
                  <c:v>1.6510000000000002</c:v>
                </c:pt>
                <c:pt idx="13">
                  <c:v>1.7050000000000001</c:v>
                </c:pt>
                <c:pt idx="14">
                  <c:v>1.6890000000000003</c:v>
                </c:pt>
                <c:pt idx="15">
                  <c:v>1.6250000000000002</c:v>
                </c:pt>
                <c:pt idx="16">
                  <c:v>1.61</c:v>
                </c:pt>
                <c:pt idx="17">
                  <c:v>1.6250000000000002</c:v>
                </c:pt>
                <c:pt idx="18">
                  <c:v>1.5950000000000002</c:v>
                </c:pt>
                <c:pt idx="19">
                  <c:v>1.5860000000000001</c:v>
                </c:pt>
                <c:pt idx="20">
                  <c:v>1.4760000000000002</c:v>
                </c:pt>
                <c:pt idx="21">
                  <c:v>1.3980000000000001</c:v>
                </c:pt>
                <c:pt idx="22">
                  <c:v>1.3540000000000001</c:v>
                </c:pt>
                <c:pt idx="23">
                  <c:v>1.2910000000000001</c:v>
                </c:pt>
                <c:pt idx="24">
                  <c:v>1.3690000000000002</c:v>
                </c:pt>
                <c:pt idx="25">
                  <c:v>1.2760000000000002</c:v>
                </c:pt>
                <c:pt idx="26">
                  <c:v>0.42000000000000015</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numCache>
            </c:numRef>
          </c:yVal>
          <c:smooth val="0"/>
          <c:extLst>
            <c:ext xmlns:c16="http://schemas.microsoft.com/office/drawing/2014/chart" uri="{C3380CC4-5D6E-409C-BE32-E72D297353CC}">
              <c16:uniqueId val="{00000000-780C-4B4F-90DD-D8D7681B3761}"/>
            </c:ext>
          </c:extLst>
        </c:ser>
        <c:dLbls>
          <c:showLegendKey val="0"/>
          <c:showVal val="0"/>
          <c:showCatName val="0"/>
          <c:showSerName val="0"/>
          <c:showPercent val="0"/>
          <c:showBubbleSize val="0"/>
        </c:dLbls>
        <c:axId val="738887088"/>
        <c:axId val="334927744"/>
      </c:scatterChart>
      <c:valAx>
        <c:axId val="738887088"/>
        <c:scaling>
          <c:orientation val="minMax"/>
        </c:scaling>
        <c:delete val="0"/>
        <c:axPos val="t"/>
        <c:title>
          <c:tx>
            <c:rich>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NZ" sz="1400"/>
                  <a:t>Cross Stream Distance</a:t>
                </a:r>
                <a:r>
                  <a:rPr lang="en-NZ" sz="1400" baseline="0"/>
                  <a:t> (m)</a:t>
                </a:r>
              </a:p>
            </c:rich>
          </c:tx>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34927744"/>
        <c:crosses val="autoZero"/>
        <c:crossBetween val="midCat"/>
      </c:valAx>
      <c:valAx>
        <c:axId val="334927744"/>
        <c:scaling>
          <c:orientation val="maxMin"/>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NZ" sz="1400"/>
                  <a:t>Depth (m)</a:t>
                </a:r>
              </a:p>
            </c:rich>
          </c:tx>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888708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54665</xdr:colOff>
      <xdr:row>67</xdr:row>
      <xdr:rowOff>98977</xdr:rowOff>
    </xdr:from>
    <xdr:to>
      <xdr:col>6</xdr:col>
      <xdr:colOff>149915</xdr:colOff>
      <xdr:row>87</xdr:row>
      <xdr:rowOff>60877</xdr:rowOff>
    </xdr:to>
    <xdr:graphicFrame macro="">
      <xdr:nvGraphicFramePr>
        <xdr:cNvPr id="2" name="Chart 1">
          <a:extLst>
            <a:ext uri="{FF2B5EF4-FFF2-40B4-BE49-F238E27FC236}">
              <a16:creationId xmlns:a16="http://schemas.microsoft.com/office/drawing/2014/main" id="{ED52CE90-1445-4190-8FEB-EEFF804274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68</xdr:row>
      <xdr:rowOff>133350</xdr:rowOff>
    </xdr:from>
    <xdr:to>
      <xdr:col>3</xdr:col>
      <xdr:colOff>2162175</xdr:colOff>
      <xdr:row>84</xdr:row>
      <xdr:rowOff>133350</xdr:rowOff>
    </xdr:to>
    <xdr:graphicFrame macro="">
      <xdr:nvGraphicFramePr>
        <xdr:cNvPr id="2" name="Chart 1">
          <a:extLst>
            <a:ext uri="{FF2B5EF4-FFF2-40B4-BE49-F238E27FC236}">
              <a16:creationId xmlns:a16="http://schemas.microsoft.com/office/drawing/2014/main" id="{5600A72A-8084-7D73-505B-3A26BE26DD2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38100</xdr:colOff>
      <xdr:row>65</xdr:row>
      <xdr:rowOff>123825</xdr:rowOff>
    </xdr:from>
    <xdr:to>
      <xdr:col>3</xdr:col>
      <xdr:colOff>2171700</xdr:colOff>
      <xdr:row>81</xdr:row>
      <xdr:rowOff>123825</xdr:rowOff>
    </xdr:to>
    <xdr:graphicFrame macro="">
      <xdr:nvGraphicFramePr>
        <xdr:cNvPr id="2" name="Chart 1">
          <a:extLst>
            <a:ext uri="{FF2B5EF4-FFF2-40B4-BE49-F238E27FC236}">
              <a16:creationId xmlns:a16="http://schemas.microsoft.com/office/drawing/2014/main" id="{1B2D8F63-5C30-47E4-98AF-65F965B1D8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7"/>
  <sheetViews>
    <sheetView topLeftCell="A42" zoomScale="115" zoomScaleNormal="115" workbookViewId="0">
      <selection activeCell="A59" sqref="A59"/>
    </sheetView>
  </sheetViews>
  <sheetFormatPr defaultRowHeight="15" x14ac:dyDescent="0.25"/>
  <cols>
    <col min="1" max="1" width="44.85546875" customWidth="1"/>
    <col min="2" max="2" width="22.140625" customWidth="1"/>
    <col min="3" max="3" width="30.5703125" customWidth="1"/>
    <col min="4" max="4" width="22.140625" customWidth="1"/>
    <col min="5" max="5" width="23.140625" customWidth="1"/>
    <col min="6" max="6" width="54.28515625" customWidth="1"/>
    <col min="7" max="7" width="37.140625" customWidth="1"/>
    <col min="8" max="9" width="28.7109375" customWidth="1"/>
    <col min="10" max="10" width="27.7109375" customWidth="1"/>
    <col min="11" max="11" width="28.7109375" customWidth="1"/>
    <col min="12" max="12" width="27.85546875" customWidth="1"/>
    <col min="14" max="14" width="26.5703125" customWidth="1"/>
    <col min="15" max="19" width="21.42578125" customWidth="1"/>
    <col min="20" max="20" width="27.85546875" customWidth="1"/>
    <col min="21" max="24" width="21.42578125" customWidth="1"/>
    <col min="25" max="25" width="29.85546875" customWidth="1"/>
    <col min="26" max="26" width="8.28515625" customWidth="1"/>
    <col min="27" max="27" width="95.5703125" customWidth="1"/>
    <col min="29" max="29" width="26.7109375" customWidth="1"/>
    <col min="30" max="30" width="16.28515625" customWidth="1"/>
    <col min="37" max="37" width="21" customWidth="1"/>
    <col min="38" max="38" width="17.85546875" customWidth="1"/>
    <col min="39" max="39" width="23.85546875" customWidth="1"/>
    <col min="44" max="44" width="26" customWidth="1"/>
    <col min="45" max="45" width="24.7109375" customWidth="1"/>
    <col min="46" max="46" width="33.85546875" customWidth="1"/>
    <col min="47" max="47" width="43" customWidth="1"/>
    <col min="48" max="55" width="52.85546875" customWidth="1"/>
    <col min="56" max="57" width="63.28515625" customWidth="1"/>
  </cols>
  <sheetData>
    <row r="1" spans="1:30" x14ac:dyDescent="0.25">
      <c r="A1" s="6" t="s">
        <v>44</v>
      </c>
    </row>
    <row r="2" spans="1:30" ht="15.75" thickBot="1" x14ac:dyDescent="0.3">
      <c r="A2" s="6"/>
    </row>
    <row r="3" spans="1:30" ht="15.75" thickBot="1" x14ac:dyDescent="0.3">
      <c r="A3" s="7" t="s">
        <v>0</v>
      </c>
      <c r="B3" s="41"/>
      <c r="C3" s="13" t="s">
        <v>4</v>
      </c>
    </row>
    <row r="4" spans="1:30" ht="15.75" thickBot="1" x14ac:dyDescent="0.3">
      <c r="A4" s="51" t="s">
        <v>42</v>
      </c>
      <c r="B4" s="52" t="s">
        <v>57</v>
      </c>
      <c r="C4" s="53" t="s">
        <v>41</v>
      </c>
      <c r="AA4" s="31" t="s">
        <v>72</v>
      </c>
    </row>
    <row r="5" spans="1:30" ht="15" customHeight="1" thickBot="1" x14ac:dyDescent="0.3">
      <c r="H5" s="24" t="s">
        <v>10</v>
      </c>
      <c r="AA5" s="31" t="s">
        <v>71</v>
      </c>
      <c r="AC5" s="56" t="s">
        <v>43</v>
      </c>
    </row>
    <row r="6" spans="1:30" ht="15.75" thickBot="1" x14ac:dyDescent="0.3">
      <c r="A6" s="9" t="s">
        <v>6</v>
      </c>
      <c r="B6" s="10" t="s">
        <v>7</v>
      </c>
      <c r="C6" s="16" t="s">
        <v>32</v>
      </c>
      <c r="D6" s="16" t="s">
        <v>8</v>
      </c>
      <c r="E6" s="11" t="s">
        <v>9</v>
      </c>
      <c r="F6" s="13" t="s">
        <v>4</v>
      </c>
      <c r="G6" s="6"/>
      <c r="H6" s="22" t="s">
        <v>73</v>
      </c>
      <c r="I6" s="22" t="s">
        <v>74</v>
      </c>
      <c r="J6" s="22" t="s">
        <v>76</v>
      </c>
      <c r="K6" s="22" t="s">
        <v>75</v>
      </c>
      <c r="L6" s="22" t="s">
        <v>19</v>
      </c>
      <c r="M6" s="23"/>
      <c r="N6" s="22" t="s">
        <v>12</v>
      </c>
      <c r="O6" s="22" t="s">
        <v>13</v>
      </c>
      <c r="P6" s="22" t="s">
        <v>15</v>
      </c>
      <c r="Q6" s="22" t="s">
        <v>16</v>
      </c>
      <c r="R6" s="22" t="s">
        <v>67</v>
      </c>
      <c r="S6" s="22" t="s">
        <v>68</v>
      </c>
      <c r="T6" s="22" t="s">
        <v>11</v>
      </c>
      <c r="U6" s="22" t="s">
        <v>17</v>
      </c>
      <c r="V6" s="22" t="s">
        <v>18</v>
      </c>
      <c r="W6" s="22" t="s">
        <v>70</v>
      </c>
      <c r="X6" s="22" t="s">
        <v>69</v>
      </c>
      <c r="Y6" s="22" t="s">
        <v>14</v>
      </c>
      <c r="Z6" s="25"/>
      <c r="AA6" s="28" t="s">
        <v>21</v>
      </c>
      <c r="AB6" s="27"/>
      <c r="AC6" s="54" t="s">
        <v>1</v>
      </c>
      <c r="AD6" s="55" t="s">
        <v>3</v>
      </c>
    </row>
    <row r="7" spans="1:30" x14ac:dyDescent="0.25">
      <c r="A7" s="1" t="s">
        <v>2</v>
      </c>
      <c r="B7" s="12" t="s">
        <v>2</v>
      </c>
      <c r="C7" s="17"/>
      <c r="D7" s="17"/>
      <c r="E7" s="2" t="s">
        <v>2</v>
      </c>
      <c r="F7" s="14"/>
      <c r="H7" s="23"/>
      <c r="I7" s="23"/>
      <c r="J7" s="23"/>
      <c r="K7" s="23"/>
      <c r="L7" s="23"/>
      <c r="M7" s="23"/>
      <c r="N7" s="23"/>
      <c r="O7" s="23"/>
      <c r="P7" s="23"/>
      <c r="Q7" s="23"/>
      <c r="R7" s="23"/>
      <c r="S7" s="23"/>
      <c r="T7" s="23"/>
      <c r="U7" s="23"/>
      <c r="V7" s="23"/>
      <c r="W7" s="23"/>
      <c r="X7" s="23"/>
      <c r="Y7" s="23"/>
      <c r="Z7" s="26"/>
      <c r="AA7" s="29"/>
      <c r="AB7" s="27"/>
      <c r="AC7" s="50" t="str">
        <f>IF($B$4="Original WL",'Original Cross Section - 1st WL'!A7,'Updated Cross Section - New WL'!A8)</f>
        <v>TRUE LEFT BANK</v>
      </c>
      <c r="AD7" s="3" t="str">
        <f>IF($B$4="Original WL",'Original Cross Section - 1st WL'!C7,'Updated Cross Section - New WL'!C8)</f>
        <v>TRUE LEFT BANK</v>
      </c>
    </row>
    <row r="8" spans="1:30" x14ac:dyDescent="0.25">
      <c r="A8" s="32">
        <v>0</v>
      </c>
      <c r="B8" s="33">
        <v>0</v>
      </c>
      <c r="C8" s="35">
        <v>0.85699999999999998</v>
      </c>
      <c r="D8" s="18">
        <f>$AA8</f>
        <v>6.1875000000000055E-2</v>
      </c>
      <c r="E8" s="3">
        <f>$B8*$C8*$D8</f>
        <v>0</v>
      </c>
      <c r="F8" s="34" t="s">
        <v>29</v>
      </c>
      <c r="H8" s="23">
        <f>IF(A8&lt;&gt;0,_xlfn.XLOOKUP($A8,$AC$8:$AC$56,$AC$8:$AC$56,,-1,1),MIN($AC$8:$AC$56))</f>
        <v>0</v>
      </c>
      <c r="I8" s="23">
        <f>IF(A8&lt;&gt;0,_xlfn.XLOOKUP($A8,$AC$8:$AC$56,$AC$8:$AC$56,,1,1),MIN($AC$8:$AC$56))</f>
        <v>0</v>
      </c>
      <c r="J8" s="23">
        <f>_xlfn.XLOOKUP($A8,$AC$8:$AC$56,$AD$8:$AD$56,,-1,1)</f>
        <v>0</v>
      </c>
      <c r="K8" s="23">
        <f>_xlfn.XLOOKUP($A8,$AC$8:$AC$56,$AD$8:$AD$56,,1,1)</f>
        <v>0</v>
      </c>
      <c r="L8" s="23">
        <f>IF($H8=$I8,$J8,FORECAST($A8,$J8:$K8,$H8:$I8))</f>
        <v>0</v>
      </c>
      <c r="M8" s="23"/>
      <c r="N8" s="23">
        <f>$AC$8</f>
        <v>0</v>
      </c>
      <c r="O8" s="23">
        <f>IF(A9&lt;&gt;0,(A8+A9)/2,MAX($AC$8:$AC$56))</f>
        <v>0.75</v>
      </c>
      <c r="P8" s="23">
        <f>_xlfn.XLOOKUP($N8,$AC$8:$AC$56,$AC$8:$AC$56,,-1,1)</f>
        <v>0</v>
      </c>
      <c r="Q8" s="23">
        <f>_xlfn.XLOOKUP($N8,$AC$8:$AC$56,$AC$8:$AC$56,,1,1)</f>
        <v>0</v>
      </c>
      <c r="R8" s="23">
        <f>_xlfn.XLOOKUP($N8,$AC$8:$AC$56,$AD$8:$AD$56,,-1,1)</f>
        <v>0</v>
      </c>
      <c r="S8" s="23">
        <f>_xlfn.XLOOKUP($N8,$AC$8:$AC$56,$AD$8:$AD$56,,1,1)</f>
        <v>0</v>
      </c>
      <c r="T8" s="23">
        <f>IF($P8=$Q8,$R8,FORECAST($N8,$R8:$S8,$P8:$Q8))</f>
        <v>0</v>
      </c>
      <c r="U8" s="23">
        <f>_xlfn.XLOOKUP($O8,$AC$8:$AC$56,$AC$8:$AC$56,,-1,1)</f>
        <v>0</v>
      </c>
      <c r="V8" s="23">
        <f>_xlfn.XLOOKUP($O8,$AC$8:$AC$56,$AC$8:$AC$56,,1,1)</f>
        <v>1</v>
      </c>
      <c r="W8" s="23">
        <f>_xlfn.XLOOKUP($O8,$AC$8:$AC$56,$AD$8:$AD$56,,-1,1)</f>
        <v>0</v>
      </c>
      <c r="X8" s="23">
        <f>_xlfn.XLOOKUP($O8,$AC$8:$AC$56,$AD$8:$AD$56,,1,1)</f>
        <v>0.2200000000000002</v>
      </c>
      <c r="Y8" s="23">
        <f>IF($U8=$V8,$W8,FORECAST($O8,$W8:$X8,$U8:$V8))</f>
        <v>0.16500000000000015</v>
      </c>
      <c r="Z8" s="26"/>
      <c r="AA8" s="30" cm="1">
        <f t="array" ref="AA8">IF(SUM(((($AC$8:$AC$56)&gt;$N8)*1)*((($AC$8:$AC$56)&lt;$O8)*1))&gt;0,SUM((_xlfn.VSTACK((_xlfn._xlws.FILTER(((($AC$8:$AC$56)&gt;$N8)*1)*((($AC$8:$AC$56)&lt;$O8)*1)*($AC$8:$AC$56),((($AC$8:$AC$56)&gt;$N8)*1)*((($AC$8:$AC$56)&lt;$O8)*1)*($AC$8:$AC$56)&gt;0)),$O8)-_xlfn.VSTACK($N8,(_xlfn._xlws.FILTER(((($AC$8:$AC$56)&gt;$N8)*1)*((($AC$8:$AC$56)&lt;$O8)*1)*($AC$8:$AC$56),((($AC$8:$AC$56)&gt;$N8)*1)*((($AC$8:$AC$56)&lt;$O8)*1)*($AC$8:$AC$56)&gt;0))))*((_xlfn.VSTACK($T8,(_xlfn._xlws.FILTER(((($AC$8:$AC$56)&gt;$N8)*1)*((($AC$8:$AC$56)&lt;$O8)*1)*($AD$8:$AD$56),((($AC$8:$AC$56)&gt;$N8)*1)*((($AC$8:$AC$56)&lt;$O8)))))+_xlfn.VSTACK((_xlfn._xlws.FILTER(((($AC$8:$AC$56)&gt;$N8)*1)*((($AC$8:$AC$56)&lt;$O8)*1)*($AD$8:$AD$56),((($AC$8:$AC$56)&gt;$N8)*1)*((($AC$8:$AC$56)&lt;$O8)))),$Y8))/2)),($O8-$N8)*($T8+$Y8)/2)</f>
        <v>6.1875000000000055E-2</v>
      </c>
      <c r="AB8" s="27"/>
      <c r="AC8" s="50">
        <f>IF($B$4="Original WL",'Original Cross Section - 1st WL'!A8,'Updated Cross Section - New WL'!A9)</f>
        <v>0</v>
      </c>
      <c r="AD8" s="3">
        <f>IF($B$4="Original WL",'Original Cross Section - 1st WL'!C8,'Updated Cross Section - New WL'!C9)</f>
        <v>0</v>
      </c>
    </row>
    <row r="9" spans="1:30" x14ac:dyDescent="0.25">
      <c r="A9" s="32">
        <v>1.5</v>
      </c>
      <c r="B9" s="33">
        <v>0.2</v>
      </c>
      <c r="C9" s="35">
        <v>0.85699999999999998</v>
      </c>
      <c r="D9" s="18">
        <f t="shared" ref="D9:D47" si="0">$AA9</f>
        <v>0.44331730769230798</v>
      </c>
      <c r="E9" s="3">
        <f t="shared" ref="E9:E47" si="1">$B9*$C9*$D9</f>
        <v>7.5984586538461588E-2</v>
      </c>
      <c r="F9" s="34"/>
      <c r="H9" s="23">
        <f t="shared" ref="H9:H47" si="2">IF(A9&lt;&gt;0,_xlfn.XLOOKUP($A9,$AC$8:$AC$56,$AC$8:$AC$56,,-1,1),MAX($AC$8:$AC$56))</f>
        <v>1</v>
      </c>
      <c r="I9" s="23">
        <f t="shared" ref="I9:I47" si="3">IF(A9&lt;&gt;0,_xlfn.XLOOKUP($A9,$AC$8:$AC$56,$AC$8:$AC$56,,1,1),MAX($AC$8:$AC$56))</f>
        <v>2.2999999999999998</v>
      </c>
      <c r="J9" s="23">
        <f t="shared" ref="J9:J47" si="4">IF(A9&lt;&gt;0,_xlfn.XLOOKUP($A9,$AC$8:$AC$56,$AD$8:$AD$56,,-1,1),0)</f>
        <v>0.2200000000000002</v>
      </c>
      <c r="K9" s="23">
        <f t="shared" ref="K9:K47" si="5">IF(A9&lt;&gt;0,_xlfn.XLOOKUP($A9,$AC$8:$AC$56,$AD$8:$AD$56,,1,1),0)</f>
        <v>0.42000000000000015</v>
      </c>
      <c r="L9" s="23">
        <f t="shared" ref="L8:L47" si="6">IF($H9=$I9,$J9,FORECAST($A9,$J9:$K9,$H9:$I9))</f>
        <v>0.29692307692307712</v>
      </c>
      <c r="M9" s="23"/>
      <c r="N9" s="23">
        <f>IF(A9&lt;&gt;0,(A8+A9)/2,MAX($AC$8:$AC$56))</f>
        <v>0.75</v>
      </c>
      <c r="O9" s="23">
        <f t="shared" ref="O9:O47" si="7">IF(A10&lt;&gt;0,(A9+A10)/2,MAX($AC$8:$AC$56))</f>
        <v>2.25</v>
      </c>
      <c r="P9" s="23">
        <f t="shared" ref="P9:P47" si="8">_xlfn.XLOOKUP($N9,$AC$8:$AC$56,$AC$8:$AC$56,,-1,1)</f>
        <v>0</v>
      </c>
      <c r="Q9" s="23">
        <f t="shared" ref="Q9:Q47" si="9">_xlfn.XLOOKUP($N9,$AC$8:$AC$56,$AC$8:$AC$56,,1,1)</f>
        <v>1</v>
      </c>
      <c r="R9" s="23">
        <f t="shared" ref="R9:R47" si="10">_xlfn.XLOOKUP($N9,$AC$8:$AC$56,$AD$8:$AD$56,,-1,1)</f>
        <v>0</v>
      </c>
      <c r="S9" s="23">
        <f t="shared" ref="S9:S47" si="11">_xlfn.XLOOKUP($N9,$AC$8:$AC$56,$AD$8:$AD$56,,1,1)</f>
        <v>0.2200000000000002</v>
      </c>
      <c r="T9" s="23">
        <f t="shared" ref="T9:T47" si="12">IF($P9=$Q9,$R9,FORECAST($N9,$R9:$S9,$P9:$Q9))</f>
        <v>0.16500000000000015</v>
      </c>
      <c r="U9" s="23">
        <f t="shared" ref="U9:U47" si="13">_xlfn.XLOOKUP($O9,$AC$8:$AC$56,$AC$8:$AC$56,,-1,1)</f>
        <v>1</v>
      </c>
      <c r="V9" s="23">
        <f t="shared" ref="V9:V47" si="14">_xlfn.XLOOKUP($O9,$AC$8:$AC$56,$AC$8:$AC$56,,1,1)</f>
        <v>2.2999999999999998</v>
      </c>
      <c r="W9" s="23">
        <f t="shared" ref="W9:W47" si="15">_xlfn.XLOOKUP($O9,$AC$8:$AC$56,$AD$8:$AD$56,,-1,1)</f>
        <v>0.2200000000000002</v>
      </c>
      <c r="X9" s="23">
        <f t="shared" ref="X9:X47" si="16">_xlfn.XLOOKUP($O9,$AC$8:$AC$56,$AD$8:$AD$56,,1,1)</f>
        <v>0.42000000000000015</v>
      </c>
      <c r="Y9" s="23">
        <f t="shared" ref="Y9:Y47" si="17">IF($U9=$V9,$W9,FORECAST($O9,$W9:$X9,$U9:$V9))</f>
        <v>0.41230769230769249</v>
      </c>
      <c r="Z9" s="26"/>
      <c r="AA9" s="30" cm="1">
        <f t="array" ref="AA9">IF(SUM(((($AC$8:$AC$56)&gt;$N9)*1)*((($AC$8:$AC$56)&lt;$O9)*1))&gt;0,SUM((_xlfn.VSTACK((_xlfn._xlws.FILTER(((($AC$8:$AC$56)&gt;$N9)*1)*((($AC$8:$AC$56)&lt;$O9)*1)*($AC$8:$AC$56),((($AC$8:$AC$56)&gt;$N9)*1)*((($AC$8:$AC$56)&lt;$O9)*1)*($AC$8:$AC$56)&gt;0)),$O9)-_xlfn.VSTACK($N9,(_xlfn._xlws.FILTER(((($AC$8:$AC$56)&gt;$N9)*1)*((($AC$8:$AC$56)&lt;$O9)*1)*($AC$8:$AC$56),((($AC$8:$AC$56)&gt;$N9)*1)*((($AC$8:$AC$56)&lt;$O9)*1)*($AC$8:$AC$56)&gt;0))))*((_xlfn.VSTACK($T9,(_xlfn._xlws.FILTER(((($AC$8:$AC$56)&gt;$N9)*1)*((($AC$8:$AC$56)&lt;$O9)*1)*($AD$8:$AD$56),((($AC$8:$AC$56)&gt;$N9)*1)*((($AC$8:$AC$56)&lt;$O9)))))+_xlfn.VSTACK((_xlfn._xlws.FILTER(((($AC$8:$AC$56)&gt;$N9)*1)*((($AC$8:$AC$56)&lt;$O9)*1)*($AD$8:$AD$56),((($AC$8:$AC$56)&gt;$N9)*1)*((($AC$8:$AC$56)&lt;$O9)))),$Y9))/2)),($O9-$N9)*($T9+$Y9)/2)</f>
        <v>0.44331730769230798</v>
      </c>
      <c r="AB9" s="27"/>
      <c r="AC9" s="50">
        <f>IF($B$4="Original WL",'Original Cross Section - 1st WL'!A9,'Updated Cross Section - New WL'!A10)</f>
        <v>1</v>
      </c>
      <c r="AD9" s="3">
        <f>IF($B$4="Original WL",'Original Cross Section - 1st WL'!C9,'Updated Cross Section - New WL'!C10)</f>
        <v>0.2200000000000002</v>
      </c>
    </row>
    <row r="10" spans="1:30" x14ac:dyDescent="0.25">
      <c r="A10" s="32">
        <v>3</v>
      </c>
      <c r="B10" s="33">
        <v>0.5</v>
      </c>
      <c r="C10" s="35">
        <v>0.85699999999999998</v>
      </c>
      <c r="D10" s="18">
        <f t="shared" si="0"/>
        <v>0.95853461538461548</v>
      </c>
      <c r="E10" s="3">
        <f t="shared" si="1"/>
        <v>0.41073208269230771</v>
      </c>
      <c r="F10" s="34"/>
      <c r="H10" s="23">
        <f t="shared" si="2"/>
        <v>2.2999999999999998</v>
      </c>
      <c r="I10" s="23">
        <f t="shared" si="3"/>
        <v>3.6</v>
      </c>
      <c r="J10" s="23">
        <f t="shared" si="4"/>
        <v>0.42000000000000015</v>
      </c>
      <c r="K10" s="23">
        <f t="shared" si="5"/>
        <v>0.83000000000000007</v>
      </c>
      <c r="L10" s="23">
        <f t="shared" si="6"/>
        <v>0.64076923076923087</v>
      </c>
      <c r="M10" s="23"/>
      <c r="N10" s="23">
        <f t="shared" ref="N10:N47" si="18">IF(A10&lt;&gt;0,(A9+A10)/2,MAX($AC$8:$AC$56))</f>
        <v>2.25</v>
      </c>
      <c r="O10" s="23">
        <f t="shared" si="7"/>
        <v>3.75</v>
      </c>
      <c r="P10" s="23">
        <f t="shared" si="8"/>
        <v>1</v>
      </c>
      <c r="Q10" s="23">
        <f t="shared" si="9"/>
        <v>2.2999999999999998</v>
      </c>
      <c r="R10" s="23">
        <f t="shared" si="10"/>
        <v>0.2200000000000002</v>
      </c>
      <c r="S10" s="23">
        <f t="shared" si="11"/>
        <v>0.42000000000000015</v>
      </c>
      <c r="T10" s="23">
        <f t="shared" si="12"/>
        <v>0.41230769230769249</v>
      </c>
      <c r="U10" s="23">
        <f t="shared" si="13"/>
        <v>3.6</v>
      </c>
      <c r="V10" s="23">
        <f t="shared" si="14"/>
        <v>4.9000000000000004</v>
      </c>
      <c r="W10" s="23">
        <f t="shared" si="15"/>
        <v>0.83000000000000007</v>
      </c>
      <c r="X10" s="23">
        <f t="shared" si="16"/>
        <v>0.91400000000000015</v>
      </c>
      <c r="Y10" s="23">
        <f t="shared" si="17"/>
        <v>0.83969230769230774</v>
      </c>
      <c r="Z10" s="26"/>
      <c r="AA10" s="30" cm="1">
        <f t="array" ref="AA10">IF(SUM(((($AC$8:$AC$56)&gt;$N10)*1)*((($AC$8:$AC$56)&lt;$O10)*1))&gt;0,SUM((_xlfn.VSTACK((_xlfn._xlws.FILTER(((($AC$8:$AC$56)&gt;$N10)*1)*((($AC$8:$AC$56)&lt;$O10)*1)*($AC$8:$AC$56),((($AC$8:$AC$56)&gt;$N10)*1)*((($AC$8:$AC$56)&lt;$O10)*1)*($AC$8:$AC$56)&gt;0)),$O10)-_xlfn.VSTACK($N10,(_xlfn._xlws.FILTER(((($AC$8:$AC$56)&gt;$N10)*1)*((($AC$8:$AC$56)&lt;$O10)*1)*($AC$8:$AC$56),((($AC$8:$AC$56)&gt;$N10)*1)*((($AC$8:$AC$56)&lt;$O10)*1)*($AC$8:$AC$56)&gt;0))))*((_xlfn.VSTACK($T10,(_xlfn._xlws.FILTER(((($AC$8:$AC$56)&gt;$N10)*1)*((($AC$8:$AC$56)&lt;$O10)*1)*($AD$8:$AD$56),((($AC$8:$AC$56)&gt;$N10)*1)*((($AC$8:$AC$56)&lt;$O10)))))+_xlfn.VSTACK((_xlfn._xlws.FILTER(((($AC$8:$AC$56)&gt;$N10)*1)*((($AC$8:$AC$56)&lt;$O10)*1)*($AD$8:$AD$56),((($AC$8:$AC$56)&gt;$N10)*1)*((($AC$8:$AC$56)&lt;$O10)))),$Y10))/2)),($O10-$N10)*($T10+$Y10)/2)</f>
        <v>0.95853461538461548</v>
      </c>
      <c r="AB10" s="27"/>
      <c r="AC10" s="50">
        <f>IF($B$4="Original WL",'Original Cross Section - 1st WL'!A10,'Updated Cross Section - New WL'!A11)</f>
        <v>2.2999999999999998</v>
      </c>
      <c r="AD10" s="3">
        <f>IF($B$4="Original WL",'Original Cross Section - 1st WL'!C10,'Updated Cross Section - New WL'!C11)</f>
        <v>0.42000000000000015</v>
      </c>
    </row>
    <row r="11" spans="1:30" x14ac:dyDescent="0.25">
      <c r="A11" s="32">
        <v>4.5</v>
      </c>
      <c r="B11" s="61">
        <v>1.59</v>
      </c>
      <c r="C11" s="35">
        <v>0.85699999999999998</v>
      </c>
      <c r="D11" s="18">
        <f t="shared" si="0"/>
        <v>1.3339269230769233</v>
      </c>
      <c r="E11" s="3">
        <f t="shared" si="1"/>
        <v>1.8176488431923079</v>
      </c>
      <c r="F11" s="34"/>
      <c r="H11" s="23">
        <f t="shared" si="2"/>
        <v>3.6</v>
      </c>
      <c r="I11" s="23">
        <f t="shared" si="3"/>
        <v>4.9000000000000004</v>
      </c>
      <c r="J11" s="23">
        <f t="shared" si="4"/>
        <v>0.83000000000000007</v>
      </c>
      <c r="K11" s="23">
        <f t="shared" si="5"/>
        <v>0.91400000000000015</v>
      </c>
      <c r="L11" s="23">
        <f t="shared" si="6"/>
        <v>0.88815384615384629</v>
      </c>
      <c r="M11" s="23"/>
      <c r="N11" s="23">
        <f t="shared" si="18"/>
        <v>3.75</v>
      </c>
      <c r="O11" s="23">
        <f t="shared" si="7"/>
        <v>5.25</v>
      </c>
      <c r="P11" s="23">
        <f t="shared" si="8"/>
        <v>3.6</v>
      </c>
      <c r="Q11" s="23">
        <f t="shared" si="9"/>
        <v>4.9000000000000004</v>
      </c>
      <c r="R11" s="23">
        <f t="shared" si="10"/>
        <v>0.83000000000000007</v>
      </c>
      <c r="S11" s="23">
        <f t="shared" si="11"/>
        <v>0.91400000000000015</v>
      </c>
      <c r="T11" s="23">
        <f t="shared" si="12"/>
        <v>0.83969230769230774</v>
      </c>
      <c r="U11" s="23">
        <f t="shared" si="13"/>
        <v>4.9000000000000004</v>
      </c>
      <c r="V11" s="23">
        <f t="shared" si="14"/>
        <v>6.2</v>
      </c>
      <c r="W11" s="23">
        <f t="shared" si="15"/>
        <v>0.91400000000000015</v>
      </c>
      <c r="X11" s="23">
        <f t="shared" si="16"/>
        <v>1.0340000000000003</v>
      </c>
      <c r="Y11" s="23">
        <f t="shared" si="17"/>
        <v>0.94630769230769229</v>
      </c>
      <c r="Z11" s="26"/>
      <c r="AA11" s="30" cm="1">
        <f t="array" ref="AA11">IF(SUM(((($AC$8:$AC$56)&gt;$N11)*1)*((($AC$8:$AC$56)&lt;$O11)*1))&gt;0,SUM((_xlfn.VSTACK((_xlfn._xlws.FILTER(((($AC$8:$AC$56)&gt;$N11)*1)*((($AC$8:$AC$56)&lt;$O11)*1)*($AC$8:$AC$56),((($AC$8:$AC$56)&gt;$N11)*1)*((($AC$8:$AC$56)&lt;$O11)*1)*($AC$8:$AC$56)&gt;0)),$O11)-_xlfn.VSTACK($N11,(_xlfn._xlws.FILTER(((($AC$8:$AC$56)&gt;$N11)*1)*((($AC$8:$AC$56)&lt;$O11)*1)*($AC$8:$AC$56),((($AC$8:$AC$56)&gt;$N11)*1)*((($AC$8:$AC$56)&lt;$O11)*1)*($AC$8:$AC$56)&gt;0))))*((_xlfn.VSTACK($T11,(_xlfn._xlws.FILTER(((($AC$8:$AC$56)&gt;$N11)*1)*((($AC$8:$AC$56)&lt;$O11)*1)*($AD$8:$AD$56),((($AC$8:$AC$56)&gt;$N11)*1)*((($AC$8:$AC$56)&lt;$O11)))))+_xlfn.VSTACK((_xlfn._xlws.FILTER(((($AC$8:$AC$56)&gt;$N11)*1)*((($AC$8:$AC$56)&lt;$O11)*1)*($AD$8:$AD$56),((($AC$8:$AC$56)&gt;$N11)*1)*((($AC$8:$AC$56)&lt;$O11)))),$Y11))/2)),($O11-$N11)*($T11+$Y11)/2)</f>
        <v>1.3339269230769233</v>
      </c>
      <c r="AB11" s="27"/>
      <c r="AC11" s="50">
        <f>IF($B$4="Original WL",'Original Cross Section - 1st WL'!A11,'Updated Cross Section - New WL'!A12)</f>
        <v>3.6</v>
      </c>
      <c r="AD11" s="3">
        <f>IF($B$4="Original WL",'Original Cross Section - 1st WL'!C11,'Updated Cross Section - New WL'!C12)</f>
        <v>0.83000000000000007</v>
      </c>
    </row>
    <row r="12" spans="1:30" x14ac:dyDescent="0.25">
      <c r="A12" s="32">
        <v>6</v>
      </c>
      <c r="B12" s="61">
        <v>1.73</v>
      </c>
      <c r="C12" s="35">
        <v>0.85699999999999998</v>
      </c>
      <c r="D12" s="18">
        <f t="shared" si="0"/>
        <v>1.5135346153846156</v>
      </c>
      <c r="E12" s="3">
        <f t="shared" si="1"/>
        <v>2.2439815561153851</v>
      </c>
      <c r="F12" s="34"/>
      <c r="H12" s="23">
        <f t="shared" si="2"/>
        <v>4.9000000000000004</v>
      </c>
      <c r="I12" s="23">
        <f t="shared" si="3"/>
        <v>6.2</v>
      </c>
      <c r="J12" s="23">
        <f t="shared" si="4"/>
        <v>0.91400000000000015</v>
      </c>
      <c r="K12" s="23">
        <f t="shared" si="5"/>
        <v>1.0340000000000003</v>
      </c>
      <c r="L12" s="23">
        <f t="shared" si="6"/>
        <v>1.0155384615384615</v>
      </c>
      <c r="M12" s="23"/>
      <c r="N12" s="23">
        <f t="shared" si="18"/>
        <v>5.25</v>
      </c>
      <c r="O12" s="23">
        <f t="shared" si="7"/>
        <v>6.75</v>
      </c>
      <c r="P12" s="23">
        <f t="shared" si="8"/>
        <v>4.9000000000000004</v>
      </c>
      <c r="Q12" s="23">
        <f t="shared" si="9"/>
        <v>6.2</v>
      </c>
      <c r="R12" s="23">
        <f t="shared" si="10"/>
        <v>0.91400000000000015</v>
      </c>
      <c r="S12" s="23">
        <f t="shared" si="11"/>
        <v>1.0340000000000003</v>
      </c>
      <c r="T12" s="23">
        <f t="shared" si="12"/>
        <v>0.94630769230769229</v>
      </c>
      <c r="U12" s="23">
        <f t="shared" si="13"/>
        <v>6.2</v>
      </c>
      <c r="V12" s="23">
        <f t="shared" si="14"/>
        <v>7.5</v>
      </c>
      <c r="W12" s="23">
        <f t="shared" si="15"/>
        <v>1.0340000000000003</v>
      </c>
      <c r="X12" s="23">
        <f t="shared" si="16"/>
        <v>1.0700000000000003</v>
      </c>
      <c r="Y12" s="23">
        <f t="shared" si="17"/>
        <v>1.0492307692307696</v>
      </c>
      <c r="Z12" s="26"/>
      <c r="AA12" s="30" cm="1">
        <f t="array" ref="AA12">IF(SUM(((($AC$8:$AC$56)&gt;$N12)*1)*((($AC$8:$AC$56)&lt;$O12)*1))&gt;0,SUM((_xlfn.VSTACK((_xlfn._xlws.FILTER(((($AC$8:$AC$56)&gt;$N12)*1)*((($AC$8:$AC$56)&lt;$O12)*1)*($AC$8:$AC$56),((($AC$8:$AC$56)&gt;$N12)*1)*((($AC$8:$AC$56)&lt;$O12)*1)*($AC$8:$AC$56)&gt;0)),$O12)-_xlfn.VSTACK($N12,(_xlfn._xlws.FILTER(((($AC$8:$AC$56)&gt;$N12)*1)*((($AC$8:$AC$56)&lt;$O12)*1)*($AC$8:$AC$56),((($AC$8:$AC$56)&gt;$N12)*1)*((($AC$8:$AC$56)&lt;$O12)*1)*($AC$8:$AC$56)&gt;0))))*((_xlfn.VSTACK($T12,(_xlfn._xlws.FILTER(((($AC$8:$AC$56)&gt;$N12)*1)*((($AC$8:$AC$56)&lt;$O12)*1)*($AD$8:$AD$56),((($AC$8:$AC$56)&gt;$N12)*1)*((($AC$8:$AC$56)&lt;$O12)))))+_xlfn.VSTACK((_xlfn._xlws.FILTER(((($AC$8:$AC$56)&gt;$N12)*1)*((($AC$8:$AC$56)&lt;$O12)*1)*($AD$8:$AD$56),((($AC$8:$AC$56)&gt;$N12)*1)*((($AC$8:$AC$56)&lt;$O12)))),$Y12))/2)),($O12-$N12)*($T12+$Y12)/2)</f>
        <v>1.5135346153846156</v>
      </c>
      <c r="AB12" s="27"/>
      <c r="AC12" s="50">
        <f>IF($B$4="Original WL",'Original Cross Section - 1st WL'!A12,'Updated Cross Section - New WL'!A13)</f>
        <v>4.9000000000000004</v>
      </c>
      <c r="AD12" s="3">
        <f>IF($B$4="Original WL",'Original Cross Section - 1st WL'!C12,'Updated Cross Section - New WL'!C13)</f>
        <v>0.91400000000000015</v>
      </c>
    </row>
    <row r="13" spans="1:30" x14ac:dyDescent="0.25">
      <c r="A13" s="32">
        <v>7.5</v>
      </c>
      <c r="B13" s="61">
        <v>1.82</v>
      </c>
      <c r="C13" s="35">
        <v>0.85699999999999998</v>
      </c>
      <c r="D13" s="18">
        <f t="shared" si="0"/>
        <v>1.6197115384615388</v>
      </c>
      <c r="E13" s="3">
        <f t="shared" si="1"/>
        <v>2.5263288750000008</v>
      </c>
      <c r="F13" s="34"/>
      <c r="H13" s="23">
        <f t="shared" si="2"/>
        <v>7.5</v>
      </c>
      <c r="I13" s="23">
        <f t="shared" si="3"/>
        <v>7.5</v>
      </c>
      <c r="J13" s="23">
        <f t="shared" si="4"/>
        <v>1.0700000000000003</v>
      </c>
      <c r="K13" s="23">
        <f t="shared" si="5"/>
        <v>1.0700000000000003</v>
      </c>
      <c r="L13" s="23">
        <f t="shared" si="6"/>
        <v>1.0700000000000003</v>
      </c>
      <c r="M13" s="23"/>
      <c r="N13" s="23">
        <f t="shared" si="18"/>
        <v>6.75</v>
      </c>
      <c r="O13" s="23">
        <f t="shared" si="7"/>
        <v>8.25</v>
      </c>
      <c r="P13" s="23">
        <f t="shared" si="8"/>
        <v>6.2</v>
      </c>
      <c r="Q13" s="23">
        <f t="shared" si="9"/>
        <v>7.5</v>
      </c>
      <c r="R13" s="23">
        <f t="shared" si="10"/>
        <v>1.0340000000000003</v>
      </c>
      <c r="S13" s="23">
        <f t="shared" si="11"/>
        <v>1.0700000000000003</v>
      </c>
      <c r="T13" s="23">
        <f t="shared" si="12"/>
        <v>1.0492307692307696</v>
      </c>
      <c r="U13" s="23">
        <f t="shared" si="13"/>
        <v>7.5</v>
      </c>
      <c r="V13" s="23">
        <f t="shared" si="14"/>
        <v>8.8000000000000007</v>
      </c>
      <c r="W13" s="23">
        <f t="shared" si="15"/>
        <v>1.0700000000000003</v>
      </c>
      <c r="X13" s="23">
        <f t="shared" si="16"/>
        <v>1.1740000000000002</v>
      </c>
      <c r="Y13" s="23">
        <f t="shared" si="17"/>
        <v>1.1300000000000003</v>
      </c>
      <c r="Z13" s="26"/>
      <c r="AA13" s="30" cm="1">
        <f t="array" ref="AA13">IF(SUM(((($AC$8:$AC$56)&gt;$N13)*1)*((($AC$8:$AC$56)&lt;$O13)*1))&gt;0,SUM((_xlfn.VSTACK((_xlfn._xlws.FILTER(((($AC$8:$AC$56)&gt;$N13)*1)*((($AC$8:$AC$56)&lt;$O13)*1)*($AC$8:$AC$56),((($AC$8:$AC$56)&gt;$N13)*1)*((($AC$8:$AC$56)&lt;$O13)*1)*($AC$8:$AC$56)&gt;0)),$O13)-_xlfn.VSTACK($N13,(_xlfn._xlws.FILTER(((($AC$8:$AC$56)&gt;$N13)*1)*((($AC$8:$AC$56)&lt;$O13)*1)*($AC$8:$AC$56),((($AC$8:$AC$56)&gt;$N13)*1)*((($AC$8:$AC$56)&lt;$O13)*1)*($AC$8:$AC$56)&gt;0))))*((_xlfn.VSTACK($T13,(_xlfn._xlws.FILTER(((($AC$8:$AC$56)&gt;$N13)*1)*((($AC$8:$AC$56)&lt;$O13)*1)*($AD$8:$AD$56),((($AC$8:$AC$56)&gt;$N13)*1)*((($AC$8:$AC$56)&lt;$O13)))))+_xlfn.VSTACK((_xlfn._xlws.FILTER(((($AC$8:$AC$56)&gt;$N13)*1)*((($AC$8:$AC$56)&lt;$O13)*1)*($AD$8:$AD$56),((($AC$8:$AC$56)&gt;$N13)*1)*((($AC$8:$AC$56)&lt;$O13)))),$Y13))/2)),($O13-$N13)*($T13+$Y13)/2)</f>
        <v>1.6197115384615388</v>
      </c>
      <c r="AB13" s="27"/>
      <c r="AC13" s="50">
        <f>IF($B$4="Original WL",'Original Cross Section - 1st WL'!A13,'Updated Cross Section - New WL'!A14)</f>
        <v>6.2</v>
      </c>
      <c r="AD13" s="3">
        <f>IF($B$4="Original WL",'Original Cross Section - 1st WL'!C13,'Updated Cross Section - New WL'!C14)</f>
        <v>1.0340000000000003</v>
      </c>
    </row>
    <row r="14" spans="1:30" x14ac:dyDescent="0.25">
      <c r="A14" s="32">
        <v>9</v>
      </c>
      <c r="B14" s="61">
        <v>2.04</v>
      </c>
      <c r="C14" s="35">
        <v>0.85699999999999998</v>
      </c>
      <c r="D14" s="18">
        <f t="shared" si="0"/>
        <v>1.7520240384615384</v>
      </c>
      <c r="E14" s="3">
        <f t="shared" si="1"/>
        <v>3.0630285859615385</v>
      </c>
      <c r="F14" s="34"/>
      <c r="H14" s="23">
        <f t="shared" si="2"/>
        <v>8.8000000000000007</v>
      </c>
      <c r="I14" s="23">
        <f t="shared" si="3"/>
        <v>10.1</v>
      </c>
      <c r="J14" s="23">
        <f t="shared" si="4"/>
        <v>1.1740000000000002</v>
      </c>
      <c r="K14" s="23">
        <f t="shared" si="5"/>
        <v>1.1830000000000003</v>
      </c>
      <c r="L14" s="23">
        <f t="shared" si="6"/>
        <v>1.1753846153846155</v>
      </c>
      <c r="M14" s="23"/>
      <c r="N14" s="23">
        <f t="shared" si="18"/>
        <v>8.25</v>
      </c>
      <c r="O14" s="23">
        <f t="shared" si="7"/>
        <v>9.75</v>
      </c>
      <c r="P14" s="23">
        <f t="shared" si="8"/>
        <v>7.5</v>
      </c>
      <c r="Q14" s="23">
        <f t="shared" si="9"/>
        <v>8.8000000000000007</v>
      </c>
      <c r="R14" s="23">
        <f t="shared" si="10"/>
        <v>1.0700000000000003</v>
      </c>
      <c r="S14" s="23">
        <f t="shared" si="11"/>
        <v>1.1740000000000002</v>
      </c>
      <c r="T14" s="23">
        <f t="shared" si="12"/>
        <v>1.1300000000000003</v>
      </c>
      <c r="U14" s="23">
        <f t="shared" si="13"/>
        <v>8.8000000000000007</v>
      </c>
      <c r="V14" s="23">
        <f t="shared" si="14"/>
        <v>10.1</v>
      </c>
      <c r="W14" s="23">
        <f t="shared" si="15"/>
        <v>1.1740000000000002</v>
      </c>
      <c r="X14" s="23">
        <f t="shared" si="16"/>
        <v>1.1830000000000003</v>
      </c>
      <c r="Y14" s="23">
        <f t="shared" si="17"/>
        <v>1.1805769230769232</v>
      </c>
      <c r="Z14" s="26"/>
      <c r="AA14" s="30" cm="1">
        <f t="array" ref="AA14">IF(SUM(((($AC$8:$AC$56)&gt;$N14)*1)*((($AC$8:$AC$56)&lt;$O14)*1))&gt;0,SUM((_xlfn.VSTACK((_xlfn._xlws.FILTER(((($AC$8:$AC$56)&gt;$N14)*1)*((($AC$8:$AC$56)&lt;$O14)*1)*($AC$8:$AC$56),((($AC$8:$AC$56)&gt;$N14)*1)*((($AC$8:$AC$56)&lt;$O14)*1)*($AC$8:$AC$56)&gt;0)),$O14)-_xlfn.VSTACK($N14,(_xlfn._xlws.FILTER(((($AC$8:$AC$56)&gt;$N14)*1)*((($AC$8:$AC$56)&lt;$O14)*1)*($AC$8:$AC$56),((($AC$8:$AC$56)&gt;$N14)*1)*((($AC$8:$AC$56)&lt;$O14)*1)*($AC$8:$AC$56)&gt;0))))*((_xlfn.VSTACK($T14,(_xlfn._xlws.FILTER(((($AC$8:$AC$56)&gt;$N14)*1)*((($AC$8:$AC$56)&lt;$O14)*1)*($AD$8:$AD$56),((($AC$8:$AC$56)&gt;$N14)*1)*((($AC$8:$AC$56)&lt;$O14)))))+_xlfn.VSTACK((_xlfn._xlws.FILTER(((($AC$8:$AC$56)&gt;$N14)*1)*((($AC$8:$AC$56)&lt;$O14)*1)*($AD$8:$AD$56),((($AC$8:$AC$56)&gt;$N14)*1)*((($AC$8:$AC$56)&lt;$O14)))),$Y14))/2)),($O14-$N14)*($T14+$Y14)/2)</f>
        <v>1.7520240384615384</v>
      </c>
      <c r="AB14" s="27"/>
      <c r="AC14" s="50">
        <f>IF($B$4="Original WL",'Original Cross Section - 1st WL'!A14,'Updated Cross Section - New WL'!A15)</f>
        <v>7.5</v>
      </c>
      <c r="AD14" s="3">
        <f>IF($B$4="Original WL",'Original Cross Section - 1st WL'!C14,'Updated Cross Section - New WL'!C15)</f>
        <v>1.0700000000000003</v>
      </c>
    </row>
    <row r="15" spans="1:30" x14ac:dyDescent="0.25">
      <c r="A15" s="32">
        <v>10.5</v>
      </c>
      <c r="B15" s="61">
        <v>2.1800000000000002</v>
      </c>
      <c r="C15" s="35">
        <v>0.85699999999999998</v>
      </c>
      <c r="D15" s="18">
        <f t="shared" si="0"/>
        <v>1.8900490384615389</v>
      </c>
      <c r="E15" s="3">
        <f t="shared" si="1"/>
        <v>3.531103016596155</v>
      </c>
      <c r="F15" s="34"/>
      <c r="H15" s="23">
        <f t="shared" si="2"/>
        <v>10.1</v>
      </c>
      <c r="I15" s="23">
        <f t="shared" si="3"/>
        <v>11.4</v>
      </c>
      <c r="J15" s="23">
        <f t="shared" si="4"/>
        <v>1.1830000000000003</v>
      </c>
      <c r="K15" s="23">
        <f t="shared" si="5"/>
        <v>1.4110000000000003</v>
      </c>
      <c r="L15" s="23">
        <f t="shared" si="6"/>
        <v>1.2531538461538465</v>
      </c>
      <c r="M15" s="23"/>
      <c r="N15" s="23">
        <f t="shared" si="18"/>
        <v>9.75</v>
      </c>
      <c r="O15" s="23">
        <f t="shared" si="7"/>
        <v>11.25</v>
      </c>
      <c r="P15" s="23">
        <f t="shared" si="8"/>
        <v>8.8000000000000007</v>
      </c>
      <c r="Q15" s="23">
        <f t="shared" si="9"/>
        <v>10.1</v>
      </c>
      <c r="R15" s="23">
        <f t="shared" si="10"/>
        <v>1.1740000000000002</v>
      </c>
      <c r="S15" s="23">
        <f t="shared" si="11"/>
        <v>1.1830000000000003</v>
      </c>
      <c r="T15" s="23">
        <f t="shared" si="12"/>
        <v>1.1805769230769232</v>
      </c>
      <c r="U15" s="23">
        <f t="shared" si="13"/>
        <v>10.1</v>
      </c>
      <c r="V15" s="23">
        <f t="shared" si="14"/>
        <v>11.4</v>
      </c>
      <c r="W15" s="23">
        <f t="shared" si="15"/>
        <v>1.1830000000000003</v>
      </c>
      <c r="X15" s="23">
        <f t="shared" si="16"/>
        <v>1.4110000000000003</v>
      </c>
      <c r="Y15" s="23">
        <f t="shared" si="17"/>
        <v>1.3846923076923079</v>
      </c>
      <c r="Z15" s="26"/>
      <c r="AA15" s="30" cm="1">
        <f t="array" ref="AA15">IF(SUM(((($AC$8:$AC$56)&gt;$N15)*1)*((($AC$8:$AC$56)&lt;$O15)*1))&gt;0,SUM((_xlfn.VSTACK((_xlfn._xlws.FILTER(((($AC$8:$AC$56)&gt;$N15)*1)*((($AC$8:$AC$56)&lt;$O15)*1)*($AC$8:$AC$56),((($AC$8:$AC$56)&gt;$N15)*1)*((($AC$8:$AC$56)&lt;$O15)*1)*($AC$8:$AC$56)&gt;0)),$O15)-_xlfn.VSTACK($N15,(_xlfn._xlws.FILTER(((($AC$8:$AC$56)&gt;$N15)*1)*((($AC$8:$AC$56)&lt;$O15)*1)*($AC$8:$AC$56),((($AC$8:$AC$56)&gt;$N15)*1)*((($AC$8:$AC$56)&lt;$O15)*1)*($AC$8:$AC$56)&gt;0))))*((_xlfn.VSTACK($T15,(_xlfn._xlws.FILTER(((($AC$8:$AC$56)&gt;$N15)*1)*((($AC$8:$AC$56)&lt;$O15)*1)*($AD$8:$AD$56),((($AC$8:$AC$56)&gt;$N15)*1)*((($AC$8:$AC$56)&lt;$O15)))))+_xlfn.VSTACK((_xlfn._xlws.FILTER(((($AC$8:$AC$56)&gt;$N15)*1)*((($AC$8:$AC$56)&lt;$O15)*1)*($AD$8:$AD$56),((($AC$8:$AC$56)&gt;$N15)*1)*((($AC$8:$AC$56)&lt;$O15)))),$Y15))/2)),($O15-$N15)*($T15+$Y15)/2)</f>
        <v>1.8900490384615389</v>
      </c>
      <c r="AB15" s="27"/>
      <c r="AC15" s="50">
        <f>IF($B$4="Original WL",'Original Cross Section - 1st WL'!A15,'Updated Cross Section - New WL'!A16)</f>
        <v>8.8000000000000007</v>
      </c>
      <c r="AD15" s="3">
        <f>IF($B$4="Original WL",'Original Cross Section - 1st WL'!C15,'Updated Cross Section - New WL'!C16)</f>
        <v>1.1740000000000002</v>
      </c>
    </row>
    <row r="16" spans="1:30" x14ac:dyDescent="0.25">
      <c r="A16" s="32">
        <v>12</v>
      </c>
      <c r="B16" s="61">
        <v>2.2599999999999998</v>
      </c>
      <c r="C16" s="35">
        <v>0.85699999999999998</v>
      </c>
      <c r="D16" s="18">
        <f t="shared" si="0"/>
        <v>2.1733980769230774</v>
      </c>
      <c r="E16" s="3">
        <f t="shared" si="1"/>
        <v>4.2094808633461547</v>
      </c>
      <c r="F16" s="34"/>
      <c r="H16" s="23">
        <f t="shared" si="2"/>
        <v>11.4</v>
      </c>
      <c r="I16" s="23">
        <f t="shared" si="3"/>
        <v>12.7</v>
      </c>
      <c r="J16" s="23">
        <f t="shared" si="4"/>
        <v>1.4110000000000003</v>
      </c>
      <c r="K16" s="23">
        <f t="shared" si="5"/>
        <v>1.4950000000000001</v>
      </c>
      <c r="L16" s="23">
        <f t="shared" si="6"/>
        <v>1.4497692307692311</v>
      </c>
      <c r="M16" s="23"/>
      <c r="N16" s="23">
        <f t="shared" si="18"/>
        <v>11.25</v>
      </c>
      <c r="O16" s="23">
        <f t="shared" si="7"/>
        <v>12.75</v>
      </c>
      <c r="P16" s="23">
        <f t="shared" si="8"/>
        <v>10.1</v>
      </c>
      <c r="Q16" s="23">
        <f t="shared" si="9"/>
        <v>11.4</v>
      </c>
      <c r="R16" s="23">
        <f t="shared" si="10"/>
        <v>1.1830000000000003</v>
      </c>
      <c r="S16" s="23">
        <f t="shared" si="11"/>
        <v>1.4110000000000003</v>
      </c>
      <c r="T16" s="23">
        <f t="shared" si="12"/>
        <v>1.3846923076923079</v>
      </c>
      <c r="U16" s="23">
        <f t="shared" si="13"/>
        <v>12.7</v>
      </c>
      <c r="V16" s="23">
        <f t="shared" si="14"/>
        <v>14</v>
      </c>
      <c r="W16" s="23">
        <f t="shared" si="15"/>
        <v>1.4950000000000001</v>
      </c>
      <c r="X16" s="23">
        <f t="shared" si="16"/>
        <v>1.5690000000000002</v>
      </c>
      <c r="Y16" s="23">
        <f t="shared" si="17"/>
        <v>1.497846153846154</v>
      </c>
      <c r="Z16" s="26"/>
      <c r="AA16" s="30" cm="1">
        <f t="array" ref="AA16">IF(SUM(((($AC$8:$AC$56)&gt;$N16)*1)*((($AC$8:$AC$56)&lt;$O16)*1))&gt;0,SUM((_xlfn.VSTACK((_xlfn._xlws.FILTER(((($AC$8:$AC$56)&gt;$N16)*1)*((($AC$8:$AC$56)&lt;$O16)*1)*($AC$8:$AC$56),((($AC$8:$AC$56)&gt;$N16)*1)*((($AC$8:$AC$56)&lt;$O16)*1)*($AC$8:$AC$56)&gt;0)),$O16)-_xlfn.VSTACK($N16,(_xlfn._xlws.FILTER(((($AC$8:$AC$56)&gt;$N16)*1)*((($AC$8:$AC$56)&lt;$O16)*1)*($AC$8:$AC$56),((($AC$8:$AC$56)&gt;$N16)*1)*((($AC$8:$AC$56)&lt;$O16)*1)*($AC$8:$AC$56)&gt;0))))*((_xlfn.VSTACK($T16,(_xlfn._xlws.FILTER(((($AC$8:$AC$56)&gt;$N16)*1)*((($AC$8:$AC$56)&lt;$O16)*1)*($AD$8:$AD$56),((($AC$8:$AC$56)&gt;$N16)*1)*((($AC$8:$AC$56)&lt;$O16)))))+_xlfn.VSTACK((_xlfn._xlws.FILTER(((($AC$8:$AC$56)&gt;$N16)*1)*((($AC$8:$AC$56)&lt;$O16)*1)*($AD$8:$AD$56),((($AC$8:$AC$56)&gt;$N16)*1)*((($AC$8:$AC$56)&lt;$O16)))),$Y16))/2)),($O16-$N16)*($T16+$Y16)/2)</f>
        <v>2.1733980769230774</v>
      </c>
      <c r="AB16" s="27"/>
      <c r="AC16" s="50">
        <f>IF($B$4="Original WL",'Original Cross Section - 1st WL'!A16,'Updated Cross Section - New WL'!A17)</f>
        <v>10.1</v>
      </c>
      <c r="AD16" s="3">
        <f>IF($B$4="Original WL",'Original Cross Section - 1st WL'!C16,'Updated Cross Section - New WL'!C17)</f>
        <v>1.1830000000000003</v>
      </c>
    </row>
    <row r="17" spans="1:30" x14ac:dyDescent="0.25">
      <c r="A17" s="32">
        <v>13.5</v>
      </c>
      <c r="B17" s="61">
        <v>2.42</v>
      </c>
      <c r="C17" s="35">
        <v>0.85699999999999998</v>
      </c>
      <c r="D17" s="18">
        <f t="shared" si="0"/>
        <v>2.3110000000000004</v>
      </c>
      <c r="E17" s="3">
        <f t="shared" si="1"/>
        <v>4.7928753400000002</v>
      </c>
      <c r="F17" s="34"/>
      <c r="H17" s="23">
        <f t="shared" si="2"/>
        <v>12.7</v>
      </c>
      <c r="I17" s="23">
        <f t="shared" si="3"/>
        <v>14</v>
      </c>
      <c r="J17" s="23">
        <f t="shared" si="4"/>
        <v>1.4950000000000001</v>
      </c>
      <c r="K17" s="23">
        <f t="shared" si="5"/>
        <v>1.5690000000000002</v>
      </c>
      <c r="L17" s="23">
        <f t="shared" si="6"/>
        <v>1.5405384615384616</v>
      </c>
      <c r="M17" s="23"/>
      <c r="N17" s="23">
        <f t="shared" si="18"/>
        <v>12.75</v>
      </c>
      <c r="O17" s="23">
        <f t="shared" si="7"/>
        <v>14.25</v>
      </c>
      <c r="P17" s="23">
        <f t="shared" si="8"/>
        <v>12.7</v>
      </c>
      <c r="Q17" s="23">
        <f t="shared" si="9"/>
        <v>14</v>
      </c>
      <c r="R17" s="23">
        <f t="shared" si="10"/>
        <v>1.4950000000000001</v>
      </c>
      <c r="S17" s="23">
        <f t="shared" si="11"/>
        <v>1.5690000000000002</v>
      </c>
      <c r="T17" s="23">
        <f t="shared" si="12"/>
        <v>1.497846153846154</v>
      </c>
      <c r="U17" s="23">
        <f t="shared" si="13"/>
        <v>14</v>
      </c>
      <c r="V17" s="23">
        <f t="shared" si="14"/>
        <v>15.3</v>
      </c>
      <c r="W17" s="23">
        <f t="shared" si="15"/>
        <v>1.5690000000000002</v>
      </c>
      <c r="X17" s="23">
        <f t="shared" si="16"/>
        <v>1.6510000000000002</v>
      </c>
      <c r="Y17" s="23">
        <f t="shared" si="17"/>
        <v>1.5847692307692309</v>
      </c>
      <c r="Z17" s="26"/>
      <c r="AA17" s="30" cm="1">
        <f t="array" ref="AA17">IF(SUM(((($AC$8:$AC$56)&gt;$N17)*1)*((($AC$8:$AC$56)&lt;$O17)*1))&gt;0,SUM((_xlfn.VSTACK((_xlfn._xlws.FILTER(((($AC$8:$AC$56)&gt;$N17)*1)*((($AC$8:$AC$56)&lt;$O17)*1)*($AC$8:$AC$56),((($AC$8:$AC$56)&gt;$N17)*1)*((($AC$8:$AC$56)&lt;$O17)*1)*($AC$8:$AC$56)&gt;0)),$O17)-_xlfn.VSTACK($N17,(_xlfn._xlws.FILTER(((($AC$8:$AC$56)&gt;$N17)*1)*((($AC$8:$AC$56)&lt;$O17)*1)*($AC$8:$AC$56),((($AC$8:$AC$56)&gt;$N17)*1)*((($AC$8:$AC$56)&lt;$O17)*1)*($AC$8:$AC$56)&gt;0))))*((_xlfn.VSTACK($T17,(_xlfn._xlws.FILTER(((($AC$8:$AC$56)&gt;$N17)*1)*((($AC$8:$AC$56)&lt;$O17)*1)*($AD$8:$AD$56),((($AC$8:$AC$56)&gt;$N17)*1)*((($AC$8:$AC$56)&lt;$O17)))))+_xlfn.VSTACK((_xlfn._xlws.FILTER(((($AC$8:$AC$56)&gt;$N17)*1)*((($AC$8:$AC$56)&lt;$O17)*1)*($AD$8:$AD$56),((($AC$8:$AC$56)&gt;$N17)*1)*((($AC$8:$AC$56)&lt;$O17)))),$Y17))/2)),($O17-$N17)*($T17+$Y17)/2)</f>
        <v>2.3110000000000004</v>
      </c>
      <c r="AB17" s="27"/>
      <c r="AC17" s="50">
        <f>IF($B$4="Original WL",'Original Cross Section - 1st WL'!A17,'Updated Cross Section - New WL'!A18)</f>
        <v>11.4</v>
      </c>
      <c r="AD17" s="3">
        <f>IF($B$4="Original WL",'Original Cross Section - 1st WL'!C17,'Updated Cross Section - New WL'!C18)</f>
        <v>1.4110000000000003</v>
      </c>
    </row>
    <row r="18" spans="1:30" x14ac:dyDescent="0.25">
      <c r="A18" s="32">
        <v>15</v>
      </c>
      <c r="B18" s="61">
        <v>2.68</v>
      </c>
      <c r="C18" s="35">
        <v>0.85699999999999998</v>
      </c>
      <c r="D18" s="18">
        <f t="shared" si="0"/>
        <v>2.4459346153846155</v>
      </c>
      <c r="E18" s="3">
        <f t="shared" si="1"/>
        <v>5.6177247872307694</v>
      </c>
      <c r="F18" s="34"/>
      <c r="H18" s="23">
        <f t="shared" si="2"/>
        <v>14</v>
      </c>
      <c r="I18" s="23">
        <f t="shared" si="3"/>
        <v>15.3</v>
      </c>
      <c r="J18" s="23">
        <f t="shared" si="4"/>
        <v>1.5690000000000002</v>
      </c>
      <c r="K18" s="23">
        <f t="shared" si="5"/>
        <v>1.6510000000000002</v>
      </c>
      <c r="L18" s="23">
        <f t="shared" si="6"/>
        <v>1.6320769230769234</v>
      </c>
      <c r="M18" s="23"/>
      <c r="N18" s="23">
        <f t="shared" si="18"/>
        <v>14.25</v>
      </c>
      <c r="O18" s="23">
        <f t="shared" si="7"/>
        <v>15.75</v>
      </c>
      <c r="P18" s="23">
        <f t="shared" si="8"/>
        <v>14</v>
      </c>
      <c r="Q18" s="23">
        <f t="shared" si="9"/>
        <v>15.3</v>
      </c>
      <c r="R18" s="23">
        <f t="shared" si="10"/>
        <v>1.5690000000000002</v>
      </c>
      <c r="S18" s="23">
        <f t="shared" si="11"/>
        <v>1.6510000000000002</v>
      </c>
      <c r="T18" s="23">
        <f t="shared" si="12"/>
        <v>1.5847692307692309</v>
      </c>
      <c r="U18" s="23">
        <f t="shared" si="13"/>
        <v>15.3</v>
      </c>
      <c r="V18" s="23">
        <f t="shared" si="14"/>
        <v>16.600000000000001</v>
      </c>
      <c r="W18" s="23">
        <f t="shared" si="15"/>
        <v>1.6510000000000002</v>
      </c>
      <c r="X18" s="23">
        <f t="shared" si="16"/>
        <v>1.7050000000000001</v>
      </c>
      <c r="Y18" s="23">
        <f t="shared" si="17"/>
        <v>1.6696923076923076</v>
      </c>
      <c r="Z18" s="26"/>
      <c r="AA18" s="30" cm="1">
        <f t="array" ref="AA18">IF(SUM(((($AC$8:$AC$56)&gt;$N18)*1)*((($AC$8:$AC$56)&lt;$O18)*1))&gt;0,SUM((_xlfn.VSTACK((_xlfn._xlws.FILTER(((($AC$8:$AC$56)&gt;$N18)*1)*((($AC$8:$AC$56)&lt;$O18)*1)*($AC$8:$AC$56),((($AC$8:$AC$56)&gt;$N18)*1)*((($AC$8:$AC$56)&lt;$O18)*1)*($AC$8:$AC$56)&gt;0)),$O18)-_xlfn.VSTACK($N18,(_xlfn._xlws.FILTER(((($AC$8:$AC$56)&gt;$N18)*1)*((($AC$8:$AC$56)&lt;$O18)*1)*($AC$8:$AC$56),((($AC$8:$AC$56)&gt;$N18)*1)*((($AC$8:$AC$56)&lt;$O18)*1)*($AC$8:$AC$56)&gt;0))))*((_xlfn.VSTACK($T18,(_xlfn._xlws.FILTER(((($AC$8:$AC$56)&gt;$N18)*1)*((($AC$8:$AC$56)&lt;$O18)*1)*($AD$8:$AD$56),((($AC$8:$AC$56)&gt;$N18)*1)*((($AC$8:$AC$56)&lt;$O18)))))+_xlfn.VSTACK((_xlfn._xlws.FILTER(((($AC$8:$AC$56)&gt;$N18)*1)*((($AC$8:$AC$56)&lt;$O18)*1)*($AD$8:$AD$56),((($AC$8:$AC$56)&gt;$N18)*1)*((($AC$8:$AC$56)&lt;$O18)))),$Y18))/2)),($O18-$N18)*($T18+$Y18)/2)</f>
        <v>2.4459346153846155</v>
      </c>
      <c r="AB18" s="27"/>
      <c r="AC18" s="50">
        <f>IF($B$4="Original WL",'Original Cross Section - 1st WL'!A18,'Updated Cross Section - New WL'!A19)</f>
        <v>12.7</v>
      </c>
      <c r="AD18" s="3">
        <f>IF($B$4="Original WL",'Original Cross Section - 1st WL'!C18,'Updated Cross Section - New WL'!C19)</f>
        <v>1.4950000000000001</v>
      </c>
    </row>
    <row r="19" spans="1:30" x14ac:dyDescent="0.25">
      <c r="A19" s="32">
        <v>16.5</v>
      </c>
      <c r="B19" s="61">
        <v>2.71</v>
      </c>
      <c r="C19" s="35">
        <v>0.85699999999999998</v>
      </c>
      <c r="D19" s="18">
        <f t="shared" si="0"/>
        <v>2.5398942307692307</v>
      </c>
      <c r="E19" s="3">
        <f t="shared" si="1"/>
        <v>5.8988281541346153</v>
      </c>
      <c r="F19" s="34"/>
      <c r="H19" s="23">
        <f t="shared" si="2"/>
        <v>15.3</v>
      </c>
      <c r="I19" s="23">
        <f t="shared" si="3"/>
        <v>16.600000000000001</v>
      </c>
      <c r="J19" s="23">
        <f t="shared" si="4"/>
        <v>1.6510000000000002</v>
      </c>
      <c r="K19" s="23">
        <f t="shared" si="5"/>
        <v>1.7050000000000001</v>
      </c>
      <c r="L19" s="23">
        <f t="shared" si="6"/>
        <v>1.7008461538461537</v>
      </c>
      <c r="M19" s="23"/>
      <c r="N19" s="23">
        <f t="shared" si="18"/>
        <v>15.75</v>
      </c>
      <c r="O19" s="23">
        <f t="shared" si="7"/>
        <v>17.25</v>
      </c>
      <c r="P19" s="23">
        <f t="shared" si="8"/>
        <v>15.3</v>
      </c>
      <c r="Q19" s="23">
        <f t="shared" si="9"/>
        <v>16.600000000000001</v>
      </c>
      <c r="R19" s="23">
        <f t="shared" si="10"/>
        <v>1.6510000000000002</v>
      </c>
      <c r="S19" s="23">
        <f t="shared" si="11"/>
        <v>1.7050000000000001</v>
      </c>
      <c r="T19" s="23">
        <f t="shared" si="12"/>
        <v>1.6696923076923076</v>
      </c>
      <c r="U19" s="23">
        <f t="shared" si="13"/>
        <v>16.600000000000001</v>
      </c>
      <c r="V19" s="23">
        <f t="shared" si="14"/>
        <v>17.899999999999999</v>
      </c>
      <c r="W19" s="23">
        <f t="shared" si="15"/>
        <v>1.7050000000000001</v>
      </c>
      <c r="X19" s="23">
        <f t="shared" si="16"/>
        <v>1.6890000000000003</v>
      </c>
      <c r="Y19" s="23">
        <f t="shared" si="17"/>
        <v>1.6970000000000001</v>
      </c>
      <c r="Z19" s="26"/>
      <c r="AA19" s="30" cm="1">
        <f t="array" ref="AA19">IF(SUM(((($AC$8:$AC$56)&gt;$N19)*1)*((($AC$8:$AC$56)&lt;$O19)*1))&gt;0,SUM((_xlfn.VSTACK((_xlfn._xlws.FILTER(((($AC$8:$AC$56)&gt;$N19)*1)*((($AC$8:$AC$56)&lt;$O19)*1)*($AC$8:$AC$56),((($AC$8:$AC$56)&gt;$N19)*1)*((($AC$8:$AC$56)&lt;$O19)*1)*($AC$8:$AC$56)&gt;0)),$O19)-_xlfn.VSTACK($N19,(_xlfn._xlws.FILTER(((($AC$8:$AC$56)&gt;$N19)*1)*((($AC$8:$AC$56)&lt;$O19)*1)*($AC$8:$AC$56),((($AC$8:$AC$56)&gt;$N19)*1)*((($AC$8:$AC$56)&lt;$O19)*1)*($AC$8:$AC$56)&gt;0))))*((_xlfn.VSTACK($T19,(_xlfn._xlws.FILTER(((($AC$8:$AC$56)&gt;$N19)*1)*((($AC$8:$AC$56)&lt;$O19)*1)*($AD$8:$AD$56),((($AC$8:$AC$56)&gt;$N19)*1)*((($AC$8:$AC$56)&lt;$O19)))))+_xlfn.VSTACK((_xlfn._xlws.FILTER(((($AC$8:$AC$56)&gt;$N19)*1)*((($AC$8:$AC$56)&lt;$O19)*1)*($AD$8:$AD$56),((($AC$8:$AC$56)&gt;$N19)*1)*((($AC$8:$AC$56)&lt;$O19)))),$Y19))/2)),($O19-$N19)*($T19+$Y19)/2)</f>
        <v>2.5398942307692307</v>
      </c>
      <c r="AB19" s="27"/>
      <c r="AC19" s="50">
        <f>IF($B$4="Original WL",'Original Cross Section - 1st WL'!A19,'Updated Cross Section - New WL'!A20)</f>
        <v>14</v>
      </c>
      <c r="AD19" s="3">
        <f>IF($B$4="Original WL",'Original Cross Section - 1st WL'!C19,'Updated Cross Section - New WL'!C20)</f>
        <v>1.5690000000000002</v>
      </c>
    </row>
    <row r="20" spans="1:30" x14ac:dyDescent="0.25">
      <c r="A20" s="32">
        <v>18</v>
      </c>
      <c r="B20" s="61">
        <v>2.82</v>
      </c>
      <c r="C20" s="35">
        <v>0.85699999999999998</v>
      </c>
      <c r="D20" s="18">
        <f t="shared" si="0"/>
        <v>2.5183153846153852</v>
      </c>
      <c r="E20" s="3">
        <f t="shared" si="1"/>
        <v>6.0861135226153857</v>
      </c>
      <c r="F20" s="34"/>
      <c r="H20" s="23">
        <f t="shared" si="2"/>
        <v>17.899999999999999</v>
      </c>
      <c r="I20" s="23">
        <f t="shared" si="3"/>
        <v>19.2</v>
      </c>
      <c r="J20" s="23">
        <f t="shared" si="4"/>
        <v>1.6890000000000003</v>
      </c>
      <c r="K20" s="23">
        <f t="shared" si="5"/>
        <v>1.6250000000000002</v>
      </c>
      <c r="L20" s="23">
        <f t="shared" si="6"/>
        <v>1.6840769230769235</v>
      </c>
      <c r="M20" s="23"/>
      <c r="N20" s="23">
        <f t="shared" si="18"/>
        <v>17.25</v>
      </c>
      <c r="O20" s="23">
        <f t="shared" si="7"/>
        <v>18.75</v>
      </c>
      <c r="P20" s="23">
        <f t="shared" si="8"/>
        <v>16.600000000000001</v>
      </c>
      <c r="Q20" s="23">
        <f t="shared" si="9"/>
        <v>17.899999999999999</v>
      </c>
      <c r="R20" s="23">
        <f t="shared" si="10"/>
        <v>1.7050000000000001</v>
      </c>
      <c r="S20" s="23">
        <f t="shared" si="11"/>
        <v>1.6890000000000003</v>
      </c>
      <c r="T20" s="23">
        <f t="shared" si="12"/>
        <v>1.6970000000000001</v>
      </c>
      <c r="U20" s="23">
        <f t="shared" si="13"/>
        <v>17.899999999999999</v>
      </c>
      <c r="V20" s="23">
        <f t="shared" si="14"/>
        <v>19.2</v>
      </c>
      <c r="W20" s="23">
        <f t="shared" si="15"/>
        <v>1.6890000000000003</v>
      </c>
      <c r="X20" s="23">
        <f t="shared" si="16"/>
        <v>1.6250000000000002</v>
      </c>
      <c r="Y20" s="23">
        <f t="shared" si="17"/>
        <v>1.6471538461538464</v>
      </c>
      <c r="Z20" s="26"/>
      <c r="AA20" s="30" cm="1">
        <f t="array" ref="AA20">IF(SUM(((($AC$8:$AC$56)&gt;$N20)*1)*((($AC$8:$AC$56)&lt;$O20)*1))&gt;0,SUM((_xlfn.VSTACK((_xlfn._xlws.FILTER(((($AC$8:$AC$56)&gt;$N20)*1)*((($AC$8:$AC$56)&lt;$O20)*1)*($AC$8:$AC$56),((($AC$8:$AC$56)&gt;$N20)*1)*((($AC$8:$AC$56)&lt;$O20)*1)*($AC$8:$AC$56)&gt;0)),$O20)-_xlfn.VSTACK($N20,(_xlfn._xlws.FILTER(((($AC$8:$AC$56)&gt;$N20)*1)*((($AC$8:$AC$56)&lt;$O20)*1)*($AC$8:$AC$56),((($AC$8:$AC$56)&gt;$N20)*1)*((($AC$8:$AC$56)&lt;$O20)*1)*($AC$8:$AC$56)&gt;0))))*((_xlfn.VSTACK($T20,(_xlfn._xlws.FILTER(((($AC$8:$AC$56)&gt;$N20)*1)*((($AC$8:$AC$56)&lt;$O20)*1)*($AD$8:$AD$56),((($AC$8:$AC$56)&gt;$N20)*1)*((($AC$8:$AC$56)&lt;$O20)))))+_xlfn.VSTACK((_xlfn._xlws.FILTER(((($AC$8:$AC$56)&gt;$N20)*1)*((($AC$8:$AC$56)&lt;$O20)*1)*($AD$8:$AD$56),((($AC$8:$AC$56)&gt;$N20)*1)*((($AC$8:$AC$56)&lt;$O20)))),$Y20))/2)),($O20-$N20)*($T20+$Y20)/2)</f>
        <v>2.5183153846153852</v>
      </c>
      <c r="AB20" s="27"/>
      <c r="AC20" s="50">
        <f>IF($B$4="Original WL",'Original Cross Section - 1st WL'!A20,'Updated Cross Section - New WL'!A21)</f>
        <v>15.3</v>
      </c>
      <c r="AD20" s="3">
        <f>IF($B$4="Original WL",'Original Cross Section - 1st WL'!C20,'Updated Cross Section - New WL'!C21)</f>
        <v>1.6510000000000002</v>
      </c>
    </row>
    <row r="21" spans="1:30" x14ac:dyDescent="0.25">
      <c r="A21" s="32">
        <v>19.5</v>
      </c>
      <c r="B21" s="61">
        <v>2.93</v>
      </c>
      <c r="C21" s="35">
        <v>0.85699999999999998</v>
      </c>
      <c r="D21" s="18">
        <f t="shared" si="0"/>
        <v>2.4361240384615388</v>
      </c>
      <c r="E21" s="3">
        <f t="shared" si="1"/>
        <v>6.117131821817309</v>
      </c>
      <c r="F21" s="34"/>
      <c r="H21" s="23">
        <f t="shared" si="2"/>
        <v>19.2</v>
      </c>
      <c r="I21" s="23">
        <f t="shared" si="3"/>
        <v>20.5</v>
      </c>
      <c r="J21" s="23">
        <f t="shared" si="4"/>
        <v>1.6250000000000002</v>
      </c>
      <c r="K21" s="23">
        <f t="shared" si="5"/>
        <v>1.61</v>
      </c>
      <c r="L21" s="23">
        <f t="shared" si="6"/>
        <v>1.6215384615384618</v>
      </c>
      <c r="M21" s="23"/>
      <c r="N21" s="23">
        <f t="shared" si="18"/>
        <v>18.75</v>
      </c>
      <c r="O21" s="23">
        <f t="shared" si="7"/>
        <v>20.25</v>
      </c>
      <c r="P21" s="23">
        <f t="shared" si="8"/>
        <v>17.899999999999999</v>
      </c>
      <c r="Q21" s="23">
        <f t="shared" si="9"/>
        <v>19.2</v>
      </c>
      <c r="R21" s="23">
        <f t="shared" si="10"/>
        <v>1.6890000000000003</v>
      </c>
      <c r="S21" s="23">
        <f t="shared" si="11"/>
        <v>1.6250000000000002</v>
      </c>
      <c r="T21" s="23">
        <f t="shared" si="12"/>
        <v>1.6471538461538464</v>
      </c>
      <c r="U21" s="23">
        <f t="shared" si="13"/>
        <v>19.2</v>
      </c>
      <c r="V21" s="23">
        <f t="shared" si="14"/>
        <v>20.5</v>
      </c>
      <c r="W21" s="23">
        <f t="shared" si="15"/>
        <v>1.6250000000000002</v>
      </c>
      <c r="X21" s="23">
        <f t="shared" si="16"/>
        <v>1.61</v>
      </c>
      <c r="Y21" s="23">
        <f t="shared" si="17"/>
        <v>1.6128846153846155</v>
      </c>
      <c r="Z21" s="26"/>
      <c r="AA21" s="30" cm="1">
        <f t="array" ref="AA21">IF(SUM(((($AC$8:$AC$56)&gt;$N21)*1)*((($AC$8:$AC$56)&lt;$O21)*1))&gt;0,SUM((_xlfn.VSTACK((_xlfn._xlws.FILTER(((($AC$8:$AC$56)&gt;$N21)*1)*((($AC$8:$AC$56)&lt;$O21)*1)*($AC$8:$AC$56),((($AC$8:$AC$56)&gt;$N21)*1)*((($AC$8:$AC$56)&lt;$O21)*1)*($AC$8:$AC$56)&gt;0)),$O21)-_xlfn.VSTACK($N21,(_xlfn._xlws.FILTER(((($AC$8:$AC$56)&gt;$N21)*1)*((($AC$8:$AC$56)&lt;$O21)*1)*($AC$8:$AC$56),((($AC$8:$AC$56)&gt;$N21)*1)*((($AC$8:$AC$56)&lt;$O21)*1)*($AC$8:$AC$56)&gt;0))))*((_xlfn.VSTACK($T21,(_xlfn._xlws.FILTER(((($AC$8:$AC$56)&gt;$N21)*1)*((($AC$8:$AC$56)&lt;$O21)*1)*($AD$8:$AD$56),((($AC$8:$AC$56)&gt;$N21)*1)*((($AC$8:$AC$56)&lt;$O21)))))+_xlfn.VSTACK((_xlfn._xlws.FILTER(((($AC$8:$AC$56)&gt;$N21)*1)*((($AC$8:$AC$56)&lt;$O21)*1)*($AD$8:$AD$56),((($AC$8:$AC$56)&gt;$N21)*1)*((($AC$8:$AC$56)&lt;$O21)))),$Y21))/2)),($O21-$N21)*($T21+$Y21)/2)</f>
        <v>2.4361240384615388</v>
      </c>
      <c r="AB21" s="27"/>
      <c r="AC21" s="50">
        <f>IF($B$4="Original WL",'Original Cross Section - 1st WL'!A21,'Updated Cross Section - New WL'!A22)</f>
        <v>16.600000000000001</v>
      </c>
      <c r="AD21" s="3">
        <f>IF($B$4="Original WL",'Original Cross Section - 1st WL'!C21,'Updated Cross Section - New WL'!C22)</f>
        <v>1.7050000000000001</v>
      </c>
    </row>
    <row r="22" spans="1:30" x14ac:dyDescent="0.25">
      <c r="A22" s="32">
        <v>21</v>
      </c>
      <c r="B22" s="61">
        <v>3.02</v>
      </c>
      <c r="C22" s="35">
        <v>0.85699999999999998</v>
      </c>
      <c r="D22" s="18">
        <f t="shared" si="0"/>
        <v>2.4243750000000004</v>
      </c>
      <c r="E22" s="3">
        <f t="shared" si="1"/>
        <v>6.2746219125000016</v>
      </c>
      <c r="F22" s="34"/>
      <c r="H22" s="23">
        <f t="shared" si="2"/>
        <v>20.5</v>
      </c>
      <c r="I22" s="23">
        <f t="shared" si="3"/>
        <v>21.8</v>
      </c>
      <c r="J22" s="23">
        <f t="shared" si="4"/>
        <v>1.61</v>
      </c>
      <c r="K22" s="23">
        <f t="shared" si="5"/>
        <v>1.6250000000000002</v>
      </c>
      <c r="L22" s="23">
        <f t="shared" si="6"/>
        <v>1.6157692307692308</v>
      </c>
      <c r="M22" s="23"/>
      <c r="N22" s="23">
        <f t="shared" si="18"/>
        <v>20.25</v>
      </c>
      <c r="O22" s="23">
        <f t="shared" si="7"/>
        <v>21.75</v>
      </c>
      <c r="P22" s="23">
        <f t="shared" si="8"/>
        <v>19.2</v>
      </c>
      <c r="Q22" s="23">
        <f t="shared" si="9"/>
        <v>20.5</v>
      </c>
      <c r="R22" s="23">
        <f t="shared" si="10"/>
        <v>1.6250000000000002</v>
      </c>
      <c r="S22" s="23">
        <f t="shared" si="11"/>
        <v>1.61</v>
      </c>
      <c r="T22" s="23">
        <f t="shared" si="12"/>
        <v>1.6128846153846155</v>
      </c>
      <c r="U22" s="23">
        <f t="shared" si="13"/>
        <v>20.5</v>
      </c>
      <c r="V22" s="23">
        <f t="shared" si="14"/>
        <v>21.8</v>
      </c>
      <c r="W22" s="23">
        <f t="shared" si="15"/>
        <v>1.61</v>
      </c>
      <c r="X22" s="23">
        <f t="shared" si="16"/>
        <v>1.6250000000000002</v>
      </c>
      <c r="Y22" s="23">
        <f t="shared" si="17"/>
        <v>1.6244230769230772</v>
      </c>
      <c r="Z22" s="26"/>
      <c r="AA22" s="30" cm="1">
        <f t="array" ref="AA22">IF(SUM(((($AC$8:$AC$56)&gt;$N22)*1)*((($AC$8:$AC$56)&lt;$O22)*1))&gt;0,SUM((_xlfn.VSTACK((_xlfn._xlws.FILTER(((($AC$8:$AC$56)&gt;$N22)*1)*((($AC$8:$AC$56)&lt;$O22)*1)*($AC$8:$AC$56),((($AC$8:$AC$56)&gt;$N22)*1)*((($AC$8:$AC$56)&lt;$O22)*1)*($AC$8:$AC$56)&gt;0)),$O22)-_xlfn.VSTACK($N22,(_xlfn._xlws.FILTER(((($AC$8:$AC$56)&gt;$N22)*1)*((($AC$8:$AC$56)&lt;$O22)*1)*($AC$8:$AC$56),((($AC$8:$AC$56)&gt;$N22)*1)*((($AC$8:$AC$56)&lt;$O22)*1)*($AC$8:$AC$56)&gt;0))))*((_xlfn.VSTACK($T22,(_xlfn._xlws.FILTER(((($AC$8:$AC$56)&gt;$N22)*1)*((($AC$8:$AC$56)&lt;$O22)*1)*($AD$8:$AD$56),((($AC$8:$AC$56)&gt;$N22)*1)*((($AC$8:$AC$56)&lt;$O22)))))+_xlfn.VSTACK((_xlfn._xlws.FILTER(((($AC$8:$AC$56)&gt;$N22)*1)*((($AC$8:$AC$56)&lt;$O22)*1)*($AD$8:$AD$56),((($AC$8:$AC$56)&gt;$N22)*1)*((($AC$8:$AC$56)&lt;$O22)))),$Y22))/2)),($O22-$N22)*($T22+$Y22)/2)</f>
        <v>2.4243750000000004</v>
      </c>
      <c r="AB22" s="27"/>
      <c r="AC22" s="50">
        <f>IF($B$4="Original WL",'Original Cross Section - 1st WL'!A22,'Updated Cross Section - New WL'!A23)</f>
        <v>17.899999999999999</v>
      </c>
      <c r="AD22" s="3">
        <f>IF($B$4="Original WL",'Original Cross Section - 1st WL'!C22,'Updated Cross Section - New WL'!C23)</f>
        <v>1.6890000000000003</v>
      </c>
    </row>
    <row r="23" spans="1:30" x14ac:dyDescent="0.25">
      <c r="A23" s="32">
        <v>22.5</v>
      </c>
      <c r="B23" s="61">
        <v>2.96</v>
      </c>
      <c r="C23" s="35">
        <v>0.85699999999999998</v>
      </c>
      <c r="D23" s="18">
        <f t="shared" si="0"/>
        <v>2.4134076923076928</v>
      </c>
      <c r="E23" s="3">
        <f t="shared" si="1"/>
        <v>6.1221395612307701</v>
      </c>
      <c r="F23" s="34"/>
      <c r="H23" s="23">
        <f t="shared" si="2"/>
        <v>21.8</v>
      </c>
      <c r="I23" s="23">
        <f t="shared" si="3"/>
        <v>23.1</v>
      </c>
      <c r="J23" s="23">
        <f t="shared" si="4"/>
        <v>1.6250000000000002</v>
      </c>
      <c r="K23" s="23">
        <f t="shared" si="5"/>
        <v>1.5950000000000002</v>
      </c>
      <c r="L23" s="23">
        <f t="shared" si="6"/>
        <v>1.608846153846154</v>
      </c>
      <c r="M23" s="23"/>
      <c r="N23" s="23">
        <f t="shared" si="18"/>
        <v>21.75</v>
      </c>
      <c r="O23" s="23">
        <f t="shared" si="7"/>
        <v>23.25</v>
      </c>
      <c r="P23" s="23">
        <f t="shared" si="8"/>
        <v>20.5</v>
      </c>
      <c r="Q23" s="23">
        <f t="shared" si="9"/>
        <v>21.8</v>
      </c>
      <c r="R23" s="23">
        <f t="shared" si="10"/>
        <v>1.61</v>
      </c>
      <c r="S23" s="23">
        <f t="shared" si="11"/>
        <v>1.6250000000000002</v>
      </c>
      <c r="T23" s="23">
        <f t="shared" si="12"/>
        <v>1.6244230769230772</v>
      </c>
      <c r="U23" s="23">
        <f t="shared" si="13"/>
        <v>23.1</v>
      </c>
      <c r="V23" s="23">
        <f t="shared" si="14"/>
        <v>24.4</v>
      </c>
      <c r="W23" s="23">
        <f t="shared" si="15"/>
        <v>1.5950000000000002</v>
      </c>
      <c r="X23" s="23">
        <f t="shared" si="16"/>
        <v>1.5860000000000001</v>
      </c>
      <c r="Y23" s="23">
        <f t="shared" si="17"/>
        <v>1.5939615384615384</v>
      </c>
      <c r="Z23" s="26"/>
      <c r="AA23" s="30" cm="1">
        <f t="array" ref="AA23">IF(SUM(((($AC$8:$AC$56)&gt;$N23)*1)*((($AC$8:$AC$56)&lt;$O23)*1))&gt;0,SUM((_xlfn.VSTACK((_xlfn._xlws.FILTER(((($AC$8:$AC$56)&gt;$N23)*1)*((($AC$8:$AC$56)&lt;$O23)*1)*($AC$8:$AC$56),((($AC$8:$AC$56)&gt;$N23)*1)*((($AC$8:$AC$56)&lt;$O23)*1)*($AC$8:$AC$56)&gt;0)),$O23)-_xlfn.VSTACK($N23,(_xlfn._xlws.FILTER(((($AC$8:$AC$56)&gt;$N23)*1)*((($AC$8:$AC$56)&lt;$O23)*1)*($AC$8:$AC$56),((($AC$8:$AC$56)&gt;$N23)*1)*((($AC$8:$AC$56)&lt;$O23)*1)*($AC$8:$AC$56)&gt;0))))*((_xlfn.VSTACK($T23,(_xlfn._xlws.FILTER(((($AC$8:$AC$56)&gt;$N23)*1)*((($AC$8:$AC$56)&lt;$O23)*1)*($AD$8:$AD$56),((($AC$8:$AC$56)&gt;$N23)*1)*((($AC$8:$AC$56)&lt;$O23)))))+_xlfn.VSTACK((_xlfn._xlws.FILTER(((($AC$8:$AC$56)&gt;$N23)*1)*((($AC$8:$AC$56)&lt;$O23)*1)*($AD$8:$AD$56),((($AC$8:$AC$56)&gt;$N23)*1)*((($AC$8:$AC$56)&lt;$O23)))),$Y23))/2)),($O23-$N23)*($T23+$Y23)/2)</f>
        <v>2.4134076923076928</v>
      </c>
      <c r="AB23" s="27"/>
      <c r="AC23" s="50">
        <f>IF($B$4="Original WL",'Original Cross Section - 1st WL'!A23,'Updated Cross Section - New WL'!A24)</f>
        <v>19.2</v>
      </c>
      <c r="AD23" s="3">
        <f>IF($B$4="Original WL",'Original Cross Section - 1st WL'!C23,'Updated Cross Section - New WL'!C24)</f>
        <v>1.6250000000000002</v>
      </c>
    </row>
    <row r="24" spans="1:30" x14ac:dyDescent="0.25">
      <c r="A24" s="32">
        <v>24</v>
      </c>
      <c r="B24" s="61">
        <v>3.05</v>
      </c>
      <c r="C24" s="35">
        <v>0.85699999999999998</v>
      </c>
      <c r="D24" s="18">
        <f t="shared" si="0"/>
        <v>2.3783951923076923</v>
      </c>
      <c r="E24" s="3">
        <f t="shared" si="1"/>
        <v>6.2167682734134608</v>
      </c>
      <c r="F24" s="34"/>
      <c r="H24" s="23">
        <f t="shared" si="2"/>
        <v>23.1</v>
      </c>
      <c r="I24" s="23">
        <f t="shared" si="3"/>
        <v>24.4</v>
      </c>
      <c r="J24" s="23">
        <f t="shared" si="4"/>
        <v>1.5950000000000002</v>
      </c>
      <c r="K24" s="23">
        <f t="shared" si="5"/>
        <v>1.5860000000000001</v>
      </c>
      <c r="L24" s="23">
        <f t="shared" si="6"/>
        <v>1.5887692307692307</v>
      </c>
      <c r="M24" s="23"/>
      <c r="N24" s="23">
        <f t="shared" si="18"/>
        <v>23.25</v>
      </c>
      <c r="O24" s="23">
        <f t="shared" si="7"/>
        <v>24.75</v>
      </c>
      <c r="P24" s="23">
        <f t="shared" si="8"/>
        <v>23.1</v>
      </c>
      <c r="Q24" s="23">
        <f t="shared" si="9"/>
        <v>24.4</v>
      </c>
      <c r="R24" s="23">
        <f t="shared" si="10"/>
        <v>1.5950000000000002</v>
      </c>
      <c r="S24" s="23">
        <f t="shared" si="11"/>
        <v>1.5860000000000001</v>
      </c>
      <c r="T24" s="23">
        <f t="shared" si="12"/>
        <v>1.5939615384615384</v>
      </c>
      <c r="U24" s="23">
        <f t="shared" si="13"/>
        <v>24.4</v>
      </c>
      <c r="V24" s="23">
        <f t="shared" si="14"/>
        <v>25.7</v>
      </c>
      <c r="W24" s="23">
        <f t="shared" si="15"/>
        <v>1.5860000000000001</v>
      </c>
      <c r="X24" s="23">
        <f t="shared" si="16"/>
        <v>1.4760000000000002</v>
      </c>
      <c r="Y24" s="23">
        <f t="shared" si="17"/>
        <v>1.5563846153846148</v>
      </c>
      <c r="Z24" s="26"/>
      <c r="AA24" s="30" cm="1">
        <f t="array" ref="AA24">IF(SUM(((($AC$8:$AC$56)&gt;$N24)*1)*((($AC$8:$AC$56)&lt;$O24)*1))&gt;0,SUM((_xlfn.VSTACK((_xlfn._xlws.FILTER(((($AC$8:$AC$56)&gt;$N24)*1)*((($AC$8:$AC$56)&lt;$O24)*1)*($AC$8:$AC$56),((($AC$8:$AC$56)&gt;$N24)*1)*((($AC$8:$AC$56)&lt;$O24)*1)*($AC$8:$AC$56)&gt;0)),$O24)-_xlfn.VSTACK($N24,(_xlfn._xlws.FILTER(((($AC$8:$AC$56)&gt;$N24)*1)*((($AC$8:$AC$56)&lt;$O24)*1)*($AC$8:$AC$56),((($AC$8:$AC$56)&gt;$N24)*1)*((($AC$8:$AC$56)&lt;$O24)*1)*($AC$8:$AC$56)&gt;0))))*((_xlfn.VSTACK($T24,(_xlfn._xlws.FILTER(((($AC$8:$AC$56)&gt;$N24)*1)*((($AC$8:$AC$56)&lt;$O24)*1)*($AD$8:$AD$56),((($AC$8:$AC$56)&gt;$N24)*1)*((($AC$8:$AC$56)&lt;$O24)))))+_xlfn.VSTACK((_xlfn._xlws.FILTER(((($AC$8:$AC$56)&gt;$N24)*1)*((($AC$8:$AC$56)&lt;$O24)*1)*($AD$8:$AD$56),((($AC$8:$AC$56)&gt;$N24)*1)*((($AC$8:$AC$56)&lt;$O24)))),$Y24))/2)),($O24-$N24)*($T24+$Y24)/2)</f>
        <v>2.3783951923076923</v>
      </c>
      <c r="AB24" s="27"/>
      <c r="AC24" s="50">
        <f>IF($B$4="Original WL",'Original Cross Section - 1st WL'!A24,'Updated Cross Section - New WL'!A25)</f>
        <v>20.5</v>
      </c>
      <c r="AD24" s="3">
        <f>IF($B$4="Original WL",'Original Cross Section - 1st WL'!C24,'Updated Cross Section - New WL'!C25)</f>
        <v>1.61</v>
      </c>
    </row>
    <row r="25" spans="1:30" x14ac:dyDescent="0.25">
      <c r="A25" s="32">
        <v>25.5</v>
      </c>
      <c r="B25" s="61">
        <v>3.07</v>
      </c>
      <c r="C25" s="35">
        <v>0.85699999999999998</v>
      </c>
      <c r="D25" s="18">
        <f t="shared" si="0"/>
        <v>2.2431076923076922</v>
      </c>
      <c r="E25" s="3">
        <f t="shared" si="1"/>
        <v>5.9015939073846146</v>
      </c>
      <c r="F25" s="34"/>
      <c r="H25" s="23">
        <f t="shared" si="2"/>
        <v>24.4</v>
      </c>
      <c r="I25" s="23">
        <f t="shared" si="3"/>
        <v>25.7</v>
      </c>
      <c r="J25" s="23">
        <f t="shared" si="4"/>
        <v>1.5860000000000001</v>
      </c>
      <c r="K25" s="23">
        <f t="shared" si="5"/>
        <v>1.4760000000000002</v>
      </c>
      <c r="L25" s="23">
        <f t="shared" si="6"/>
        <v>1.4929230769230766</v>
      </c>
      <c r="M25" s="23"/>
      <c r="N25" s="23">
        <f t="shared" si="18"/>
        <v>24.75</v>
      </c>
      <c r="O25" s="23">
        <f t="shared" si="7"/>
        <v>26.25</v>
      </c>
      <c r="P25" s="23">
        <f t="shared" si="8"/>
        <v>24.4</v>
      </c>
      <c r="Q25" s="23">
        <f t="shared" si="9"/>
        <v>25.7</v>
      </c>
      <c r="R25" s="23">
        <f t="shared" si="10"/>
        <v>1.5860000000000001</v>
      </c>
      <c r="S25" s="23">
        <f t="shared" si="11"/>
        <v>1.4760000000000002</v>
      </c>
      <c r="T25" s="23">
        <f t="shared" si="12"/>
        <v>1.5563846153846148</v>
      </c>
      <c r="U25" s="23">
        <f t="shared" si="13"/>
        <v>25.7</v>
      </c>
      <c r="V25" s="23">
        <f t="shared" si="14"/>
        <v>27</v>
      </c>
      <c r="W25" s="23">
        <f t="shared" si="15"/>
        <v>1.4760000000000002</v>
      </c>
      <c r="X25" s="23">
        <f t="shared" si="16"/>
        <v>1.3980000000000001</v>
      </c>
      <c r="Y25" s="23">
        <f t="shared" si="17"/>
        <v>1.4430000000000005</v>
      </c>
      <c r="Z25" s="26"/>
      <c r="AA25" s="30" cm="1">
        <f t="array" ref="AA25">IF(SUM(((($AC$8:$AC$56)&gt;$N25)*1)*((($AC$8:$AC$56)&lt;$O25)*1))&gt;0,SUM((_xlfn.VSTACK((_xlfn._xlws.FILTER(((($AC$8:$AC$56)&gt;$N25)*1)*((($AC$8:$AC$56)&lt;$O25)*1)*($AC$8:$AC$56),((($AC$8:$AC$56)&gt;$N25)*1)*((($AC$8:$AC$56)&lt;$O25)*1)*($AC$8:$AC$56)&gt;0)),$O25)-_xlfn.VSTACK($N25,(_xlfn._xlws.FILTER(((($AC$8:$AC$56)&gt;$N25)*1)*((($AC$8:$AC$56)&lt;$O25)*1)*($AC$8:$AC$56),((($AC$8:$AC$56)&gt;$N25)*1)*((($AC$8:$AC$56)&lt;$O25)*1)*($AC$8:$AC$56)&gt;0))))*((_xlfn.VSTACK($T25,(_xlfn._xlws.FILTER(((($AC$8:$AC$56)&gt;$N25)*1)*((($AC$8:$AC$56)&lt;$O25)*1)*($AD$8:$AD$56),((($AC$8:$AC$56)&gt;$N25)*1)*((($AC$8:$AC$56)&lt;$O25)))))+_xlfn.VSTACK((_xlfn._xlws.FILTER(((($AC$8:$AC$56)&gt;$N25)*1)*((($AC$8:$AC$56)&lt;$O25)*1)*($AD$8:$AD$56),((($AC$8:$AC$56)&gt;$N25)*1)*((($AC$8:$AC$56)&lt;$O25)))),$Y25))/2)),($O25-$N25)*($T25+$Y25)/2)</f>
        <v>2.2431076923076922</v>
      </c>
      <c r="AB25" s="27"/>
      <c r="AC25" s="50">
        <f>IF($B$4="Original WL",'Original Cross Section - 1st WL'!A25,'Updated Cross Section - New WL'!A26)</f>
        <v>21.8</v>
      </c>
      <c r="AD25" s="3">
        <f>IF($B$4="Original WL",'Original Cross Section - 1st WL'!C25,'Updated Cross Section - New WL'!C26)</f>
        <v>1.6250000000000002</v>
      </c>
    </row>
    <row r="26" spans="1:30" x14ac:dyDescent="0.25">
      <c r="A26" s="32">
        <v>27</v>
      </c>
      <c r="B26" s="61">
        <v>3.07</v>
      </c>
      <c r="C26" s="35">
        <v>0.85699999999999998</v>
      </c>
      <c r="D26" s="18">
        <f t="shared" si="0"/>
        <v>2.1043557692307697</v>
      </c>
      <c r="E26" s="3">
        <f t="shared" si="1"/>
        <v>5.5365389852884626</v>
      </c>
      <c r="F26" s="34"/>
      <c r="H26" s="23">
        <f t="shared" si="2"/>
        <v>27</v>
      </c>
      <c r="I26" s="23">
        <f t="shared" si="3"/>
        <v>27</v>
      </c>
      <c r="J26" s="23">
        <f t="shared" si="4"/>
        <v>1.3980000000000001</v>
      </c>
      <c r="K26" s="23">
        <f t="shared" si="5"/>
        <v>1.3980000000000001</v>
      </c>
      <c r="L26" s="23">
        <f t="shared" si="6"/>
        <v>1.3980000000000001</v>
      </c>
      <c r="M26" s="23"/>
      <c r="N26" s="23">
        <f t="shared" si="18"/>
        <v>26.25</v>
      </c>
      <c r="O26" s="23">
        <f t="shared" si="7"/>
        <v>27.75</v>
      </c>
      <c r="P26" s="23">
        <f t="shared" si="8"/>
        <v>25.7</v>
      </c>
      <c r="Q26" s="23">
        <f t="shared" si="9"/>
        <v>27</v>
      </c>
      <c r="R26" s="23">
        <f t="shared" si="10"/>
        <v>1.4760000000000002</v>
      </c>
      <c r="S26" s="23">
        <f t="shared" si="11"/>
        <v>1.3980000000000001</v>
      </c>
      <c r="T26" s="23">
        <f t="shared" si="12"/>
        <v>1.4430000000000005</v>
      </c>
      <c r="U26" s="23">
        <f t="shared" si="13"/>
        <v>27</v>
      </c>
      <c r="V26" s="23">
        <f t="shared" si="14"/>
        <v>28.3</v>
      </c>
      <c r="W26" s="23">
        <f t="shared" si="15"/>
        <v>1.3980000000000001</v>
      </c>
      <c r="X26" s="23">
        <f t="shared" si="16"/>
        <v>1.3540000000000001</v>
      </c>
      <c r="Y26" s="23">
        <f t="shared" si="17"/>
        <v>1.3726153846153846</v>
      </c>
      <c r="Z26" s="26"/>
      <c r="AA26" s="30" cm="1">
        <f t="array" ref="AA26">IF(SUM(((($AC$8:$AC$56)&gt;$N26)*1)*((($AC$8:$AC$56)&lt;$O26)*1))&gt;0,SUM((_xlfn.VSTACK((_xlfn._xlws.FILTER(((($AC$8:$AC$56)&gt;$N26)*1)*((($AC$8:$AC$56)&lt;$O26)*1)*($AC$8:$AC$56),((($AC$8:$AC$56)&gt;$N26)*1)*((($AC$8:$AC$56)&lt;$O26)*1)*($AC$8:$AC$56)&gt;0)),$O26)-_xlfn.VSTACK($N26,(_xlfn._xlws.FILTER(((($AC$8:$AC$56)&gt;$N26)*1)*((($AC$8:$AC$56)&lt;$O26)*1)*($AC$8:$AC$56),((($AC$8:$AC$56)&gt;$N26)*1)*((($AC$8:$AC$56)&lt;$O26)*1)*($AC$8:$AC$56)&gt;0))))*((_xlfn.VSTACK($T26,(_xlfn._xlws.FILTER(((($AC$8:$AC$56)&gt;$N26)*1)*((($AC$8:$AC$56)&lt;$O26)*1)*($AD$8:$AD$56),((($AC$8:$AC$56)&gt;$N26)*1)*((($AC$8:$AC$56)&lt;$O26)))))+_xlfn.VSTACK((_xlfn._xlws.FILTER(((($AC$8:$AC$56)&gt;$N26)*1)*((($AC$8:$AC$56)&lt;$O26)*1)*($AD$8:$AD$56),((($AC$8:$AC$56)&gt;$N26)*1)*((($AC$8:$AC$56)&lt;$O26)))),$Y26))/2)),($O26-$N26)*($T26+$Y26)/2)</f>
        <v>2.1043557692307697</v>
      </c>
      <c r="AB26" s="27"/>
      <c r="AC26" s="50">
        <f>IF($B$4="Original WL",'Original Cross Section - 1st WL'!A26,'Updated Cross Section - New WL'!A27)</f>
        <v>23.1</v>
      </c>
      <c r="AD26" s="3">
        <f>IF($B$4="Original WL",'Original Cross Section - 1st WL'!C26,'Updated Cross Section - New WL'!C27)</f>
        <v>1.5950000000000002</v>
      </c>
    </row>
    <row r="27" spans="1:30" x14ac:dyDescent="0.25">
      <c r="A27" s="32">
        <v>28.5</v>
      </c>
      <c r="B27" s="61">
        <v>2.99</v>
      </c>
      <c r="C27" s="35">
        <v>0.85699999999999998</v>
      </c>
      <c r="D27" s="18">
        <f t="shared" si="0"/>
        <v>2.0142509615384618</v>
      </c>
      <c r="E27" s="3">
        <f t="shared" si="1"/>
        <v>5.1613770913750008</v>
      </c>
      <c r="F27" s="34"/>
      <c r="H27" s="23">
        <f t="shared" si="2"/>
        <v>28.3</v>
      </c>
      <c r="I27" s="23">
        <f t="shared" si="3"/>
        <v>29.6</v>
      </c>
      <c r="J27" s="23">
        <f t="shared" si="4"/>
        <v>1.3540000000000001</v>
      </c>
      <c r="K27" s="23">
        <f t="shared" si="5"/>
        <v>1.2910000000000001</v>
      </c>
      <c r="L27" s="23">
        <f t="shared" si="6"/>
        <v>1.3443076923076924</v>
      </c>
      <c r="M27" s="23"/>
      <c r="N27" s="23">
        <f t="shared" si="18"/>
        <v>27.75</v>
      </c>
      <c r="O27" s="23">
        <f t="shared" si="7"/>
        <v>29.25</v>
      </c>
      <c r="P27" s="23">
        <f t="shared" si="8"/>
        <v>27</v>
      </c>
      <c r="Q27" s="23">
        <f t="shared" si="9"/>
        <v>28.3</v>
      </c>
      <c r="R27" s="23">
        <f t="shared" si="10"/>
        <v>1.3980000000000001</v>
      </c>
      <c r="S27" s="23">
        <f t="shared" si="11"/>
        <v>1.3540000000000001</v>
      </c>
      <c r="T27" s="23">
        <f t="shared" si="12"/>
        <v>1.3726153846153846</v>
      </c>
      <c r="U27" s="23">
        <f t="shared" si="13"/>
        <v>28.3</v>
      </c>
      <c r="V27" s="23">
        <f t="shared" si="14"/>
        <v>29.6</v>
      </c>
      <c r="W27" s="23">
        <f t="shared" si="15"/>
        <v>1.3540000000000001</v>
      </c>
      <c r="X27" s="23">
        <f t="shared" si="16"/>
        <v>1.2910000000000001</v>
      </c>
      <c r="Y27" s="23">
        <f t="shared" si="17"/>
        <v>1.3079615384615388</v>
      </c>
      <c r="Z27" s="26"/>
      <c r="AA27" s="30" cm="1">
        <f t="array" ref="AA27">IF(SUM(((($AC$8:$AC$56)&gt;$N27)*1)*((($AC$8:$AC$56)&lt;$O27)*1))&gt;0,SUM((_xlfn.VSTACK((_xlfn._xlws.FILTER(((($AC$8:$AC$56)&gt;$N27)*1)*((($AC$8:$AC$56)&lt;$O27)*1)*($AC$8:$AC$56),((($AC$8:$AC$56)&gt;$N27)*1)*((($AC$8:$AC$56)&lt;$O27)*1)*($AC$8:$AC$56)&gt;0)),$O27)-_xlfn.VSTACK($N27,(_xlfn._xlws.FILTER(((($AC$8:$AC$56)&gt;$N27)*1)*((($AC$8:$AC$56)&lt;$O27)*1)*($AC$8:$AC$56),((($AC$8:$AC$56)&gt;$N27)*1)*((($AC$8:$AC$56)&lt;$O27)*1)*($AC$8:$AC$56)&gt;0))))*((_xlfn.VSTACK($T27,(_xlfn._xlws.FILTER(((($AC$8:$AC$56)&gt;$N27)*1)*((($AC$8:$AC$56)&lt;$O27)*1)*($AD$8:$AD$56),((($AC$8:$AC$56)&gt;$N27)*1)*((($AC$8:$AC$56)&lt;$O27)))))+_xlfn.VSTACK((_xlfn._xlws.FILTER(((($AC$8:$AC$56)&gt;$N27)*1)*((($AC$8:$AC$56)&lt;$O27)*1)*($AD$8:$AD$56),((($AC$8:$AC$56)&gt;$N27)*1)*((($AC$8:$AC$56)&lt;$O27)))),$Y27))/2)),($O27-$N27)*($T27+$Y27)/2)</f>
        <v>2.0142509615384618</v>
      </c>
      <c r="AB27" s="27"/>
      <c r="AC27" s="50">
        <f>IF($B$4="Original WL",'Original Cross Section - 1st WL'!A27,'Updated Cross Section - New WL'!A28)</f>
        <v>24.4</v>
      </c>
      <c r="AD27" s="3">
        <f>IF($B$4="Original WL",'Original Cross Section - 1st WL'!C27,'Updated Cross Section - New WL'!C28)</f>
        <v>1.5860000000000001</v>
      </c>
    </row>
    <row r="28" spans="1:30" x14ac:dyDescent="0.25">
      <c r="A28" s="32">
        <v>30</v>
      </c>
      <c r="B28" s="61">
        <v>2.82</v>
      </c>
      <c r="C28" s="35">
        <v>0.85699999999999998</v>
      </c>
      <c r="D28" s="18">
        <f t="shared" si="0"/>
        <v>1.9791432692307698</v>
      </c>
      <c r="E28" s="3">
        <f t="shared" si="1"/>
        <v>4.7830747044807707</v>
      </c>
      <c r="F28" s="34"/>
      <c r="H28" s="23">
        <f t="shared" si="2"/>
        <v>29.6</v>
      </c>
      <c r="I28" s="23">
        <f t="shared" si="3"/>
        <v>30.9</v>
      </c>
      <c r="J28" s="23">
        <f t="shared" si="4"/>
        <v>1.2910000000000001</v>
      </c>
      <c r="K28" s="23">
        <f t="shared" si="5"/>
        <v>1.3690000000000002</v>
      </c>
      <c r="L28" s="23">
        <f t="shared" si="6"/>
        <v>1.3150000000000002</v>
      </c>
      <c r="M28" s="23"/>
      <c r="N28" s="23">
        <f t="shared" si="18"/>
        <v>29.25</v>
      </c>
      <c r="O28" s="23">
        <f t="shared" si="7"/>
        <v>30.75</v>
      </c>
      <c r="P28" s="23">
        <f t="shared" si="8"/>
        <v>28.3</v>
      </c>
      <c r="Q28" s="23">
        <f t="shared" si="9"/>
        <v>29.6</v>
      </c>
      <c r="R28" s="23">
        <f t="shared" si="10"/>
        <v>1.3540000000000001</v>
      </c>
      <c r="S28" s="23">
        <f t="shared" si="11"/>
        <v>1.2910000000000001</v>
      </c>
      <c r="T28" s="23">
        <f t="shared" si="12"/>
        <v>1.3079615384615388</v>
      </c>
      <c r="U28" s="23">
        <f t="shared" si="13"/>
        <v>29.6</v>
      </c>
      <c r="V28" s="23">
        <f t="shared" si="14"/>
        <v>30.9</v>
      </c>
      <c r="W28" s="23">
        <f t="shared" si="15"/>
        <v>1.2910000000000001</v>
      </c>
      <c r="X28" s="23">
        <f t="shared" si="16"/>
        <v>1.3690000000000002</v>
      </c>
      <c r="Y28" s="23">
        <f t="shared" si="17"/>
        <v>1.3600000000000003</v>
      </c>
      <c r="Z28" s="26"/>
      <c r="AA28" s="30" cm="1">
        <f t="array" ref="AA28">IF(SUM(((($AC$8:$AC$56)&gt;$N28)*1)*((($AC$8:$AC$56)&lt;$O28)*1))&gt;0,SUM((_xlfn.VSTACK((_xlfn._xlws.FILTER(((($AC$8:$AC$56)&gt;$N28)*1)*((($AC$8:$AC$56)&lt;$O28)*1)*($AC$8:$AC$56),((($AC$8:$AC$56)&gt;$N28)*1)*((($AC$8:$AC$56)&lt;$O28)*1)*($AC$8:$AC$56)&gt;0)),$O28)-_xlfn.VSTACK($N28,(_xlfn._xlws.FILTER(((($AC$8:$AC$56)&gt;$N28)*1)*((($AC$8:$AC$56)&lt;$O28)*1)*($AC$8:$AC$56),((($AC$8:$AC$56)&gt;$N28)*1)*((($AC$8:$AC$56)&lt;$O28)*1)*($AC$8:$AC$56)&gt;0))))*((_xlfn.VSTACK($T28,(_xlfn._xlws.FILTER(((($AC$8:$AC$56)&gt;$N28)*1)*((($AC$8:$AC$56)&lt;$O28)*1)*($AD$8:$AD$56),((($AC$8:$AC$56)&gt;$N28)*1)*((($AC$8:$AC$56)&lt;$O28)))))+_xlfn.VSTACK((_xlfn._xlws.FILTER(((($AC$8:$AC$56)&gt;$N28)*1)*((($AC$8:$AC$56)&lt;$O28)*1)*($AD$8:$AD$56),((($AC$8:$AC$56)&gt;$N28)*1)*((($AC$8:$AC$56)&lt;$O28)))),$Y28))/2)),($O28-$N28)*($T28+$Y28)/2)</f>
        <v>1.9791432692307698</v>
      </c>
      <c r="AB28" s="27"/>
      <c r="AC28" s="50">
        <f>IF($B$4="Original WL",'Original Cross Section - 1st WL'!A28,'Updated Cross Section - New WL'!A29)</f>
        <v>25.7</v>
      </c>
      <c r="AD28" s="3">
        <f>IF($B$4="Original WL",'Original Cross Section - 1st WL'!C28,'Updated Cross Section - New WL'!C29)</f>
        <v>1.4760000000000002</v>
      </c>
    </row>
    <row r="29" spans="1:30" x14ac:dyDescent="0.25">
      <c r="A29" s="32">
        <v>31.5</v>
      </c>
      <c r="B29" s="61">
        <v>2.68</v>
      </c>
      <c r="C29" s="35">
        <v>0.85699999999999998</v>
      </c>
      <c r="D29" s="18">
        <f t="shared" si="0"/>
        <v>1.9869019230769236</v>
      </c>
      <c r="E29" s="3">
        <f t="shared" si="1"/>
        <v>4.5634368608461546</v>
      </c>
      <c r="F29" s="34"/>
      <c r="H29" s="23">
        <f t="shared" si="2"/>
        <v>30.9</v>
      </c>
      <c r="I29" s="23">
        <f t="shared" si="3"/>
        <v>32.200000000000003</v>
      </c>
      <c r="J29" s="23">
        <f t="shared" si="4"/>
        <v>1.3690000000000002</v>
      </c>
      <c r="K29" s="23">
        <f t="shared" si="5"/>
        <v>1.2760000000000002</v>
      </c>
      <c r="L29" s="23">
        <f t="shared" si="6"/>
        <v>1.3260769230769234</v>
      </c>
      <c r="M29" s="23"/>
      <c r="N29" s="23">
        <f t="shared" si="18"/>
        <v>30.75</v>
      </c>
      <c r="O29" s="23">
        <f t="shared" si="7"/>
        <v>32.25</v>
      </c>
      <c r="P29" s="23">
        <f t="shared" si="8"/>
        <v>29.6</v>
      </c>
      <c r="Q29" s="23">
        <f t="shared" si="9"/>
        <v>30.9</v>
      </c>
      <c r="R29" s="23">
        <f t="shared" si="10"/>
        <v>1.2910000000000001</v>
      </c>
      <c r="S29" s="23">
        <f t="shared" si="11"/>
        <v>1.3690000000000002</v>
      </c>
      <c r="T29" s="23">
        <f t="shared" si="12"/>
        <v>1.3600000000000003</v>
      </c>
      <c r="U29" s="23">
        <f t="shared" si="13"/>
        <v>32.200000000000003</v>
      </c>
      <c r="V29" s="23">
        <f t="shared" si="14"/>
        <v>33.5</v>
      </c>
      <c r="W29" s="23">
        <f t="shared" si="15"/>
        <v>1.2760000000000002</v>
      </c>
      <c r="X29" s="23">
        <f t="shared" si="16"/>
        <v>0.42000000000000015</v>
      </c>
      <c r="Y29" s="23">
        <f t="shared" si="17"/>
        <v>1.2430769230769236</v>
      </c>
      <c r="Z29" s="26"/>
      <c r="AA29" s="30" cm="1">
        <f t="array" ref="AA29">IF(SUM(((($AC$8:$AC$56)&gt;$N29)*1)*((($AC$8:$AC$56)&lt;$O29)*1))&gt;0,SUM((_xlfn.VSTACK((_xlfn._xlws.FILTER(((($AC$8:$AC$56)&gt;$N29)*1)*((($AC$8:$AC$56)&lt;$O29)*1)*($AC$8:$AC$56),((($AC$8:$AC$56)&gt;$N29)*1)*((($AC$8:$AC$56)&lt;$O29)*1)*($AC$8:$AC$56)&gt;0)),$O29)-_xlfn.VSTACK($N29,(_xlfn._xlws.FILTER(((($AC$8:$AC$56)&gt;$N29)*1)*((($AC$8:$AC$56)&lt;$O29)*1)*($AC$8:$AC$56),((($AC$8:$AC$56)&gt;$N29)*1)*((($AC$8:$AC$56)&lt;$O29)*1)*($AC$8:$AC$56)&gt;0))))*((_xlfn.VSTACK($T29,(_xlfn._xlws.FILTER(((($AC$8:$AC$56)&gt;$N29)*1)*((($AC$8:$AC$56)&lt;$O29)*1)*($AD$8:$AD$56),((($AC$8:$AC$56)&gt;$N29)*1)*((($AC$8:$AC$56)&lt;$O29)))))+_xlfn.VSTACK((_xlfn._xlws.FILTER(((($AC$8:$AC$56)&gt;$N29)*1)*((($AC$8:$AC$56)&lt;$O29)*1)*($AD$8:$AD$56),((($AC$8:$AC$56)&gt;$N29)*1)*((($AC$8:$AC$56)&lt;$O29)))),$Y29))/2)),($O29-$N29)*($T29+$Y29)/2)</f>
        <v>1.9869019230769236</v>
      </c>
      <c r="AB29" s="27"/>
      <c r="AC29" s="50">
        <f>IF($B$4="Original WL",'Original Cross Section - 1st WL'!A29,'Updated Cross Section - New WL'!A30)</f>
        <v>27</v>
      </c>
      <c r="AD29" s="3">
        <f>IF($B$4="Original WL",'Original Cross Section - 1st WL'!C29,'Updated Cross Section - New WL'!C30)</f>
        <v>1.3980000000000001</v>
      </c>
    </row>
    <row r="30" spans="1:30" x14ac:dyDescent="0.25">
      <c r="A30" s="32">
        <v>33</v>
      </c>
      <c r="B30" s="33">
        <v>1.23</v>
      </c>
      <c r="C30" s="35">
        <v>0.85699999999999998</v>
      </c>
      <c r="D30" s="18">
        <f t="shared" si="0"/>
        <v>1.0394230769230774</v>
      </c>
      <c r="E30" s="3">
        <f t="shared" si="1"/>
        <v>1.095666259615385</v>
      </c>
      <c r="F30" s="34"/>
      <c r="H30" s="23">
        <f t="shared" si="2"/>
        <v>32.200000000000003</v>
      </c>
      <c r="I30" s="23">
        <f t="shared" si="3"/>
        <v>33.5</v>
      </c>
      <c r="J30" s="23">
        <f t="shared" si="4"/>
        <v>1.2760000000000002</v>
      </c>
      <c r="K30" s="23">
        <f t="shared" si="5"/>
        <v>0.42000000000000015</v>
      </c>
      <c r="L30" s="23">
        <f t="shared" si="6"/>
        <v>0.74923076923076692</v>
      </c>
      <c r="M30" s="23"/>
      <c r="N30" s="23">
        <f t="shared" si="18"/>
        <v>32.25</v>
      </c>
      <c r="O30" s="23">
        <f t="shared" si="7"/>
        <v>33.5</v>
      </c>
      <c r="P30" s="23">
        <f t="shared" si="8"/>
        <v>32.200000000000003</v>
      </c>
      <c r="Q30" s="23">
        <f t="shared" si="9"/>
        <v>33.5</v>
      </c>
      <c r="R30" s="23">
        <f t="shared" si="10"/>
        <v>1.2760000000000002</v>
      </c>
      <c r="S30" s="23">
        <f t="shared" si="11"/>
        <v>0.42000000000000015</v>
      </c>
      <c r="T30" s="23">
        <f t="shared" si="12"/>
        <v>1.2430769230769236</v>
      </c>
      <c r="U30" s="23">
        <f t="shared" si="13"/>
        <v>33.5</v>
      </c>
      <c r="V30" s="23">
        <f t="shared" si="14"/>
        <v>33.5</v>
      </c>
      <c r="W30" s="23">
        <f t="shared" si="15"/>
        <v>0.42000000000000015</v>
      </c>
      <c r="X30" s="23">
        <f t="shared" si="16"/>
        <v>0.42000000000000015</v>
      </c>
      <c r="Y30" s="23">
        <f t="shared" si="17"/>
        <v>0.42000000000000015</v>
      </c>
      <c r="Z30" s="26"/>
      <c r="AA30" s="30" cm="1">
        <f t="array" ref="AA30">IF(SUM(((($AC$8:$AC$56)&gt;$N30)*1)*((($AC$8:$AC$56)&lt;$O30)*1))&gt;0,SUM((_xlfn.VSTACK((_xlfn._xlws.FILTER(((($AC$8:$AC$56)&gt;$N30)*1)*((($AC$8:$AC$56)&lt;$O30)*1)*($AC$8:$AC$56),((($AC$8:$AC$56)&gt;$N30)*1)*((($AC$8:$AC$56)&lt;$O30)*1)*($AC$8:$AC$56)&gt;0)),$O30)-_xlfn.VSTACK($N30,(_xlfn._xlws.FILTER(((($AC$8:$AC$56)&gt;$N30)*1)*((($AC$8:$AC$56)&lt;$O30)*1)*($AC$8:$AC$56),((($AC$8:$AC$56)&gt;$N30)*1)*((($AC$8:$AC$56)&lt;$O30)*1)*($AC$8:$AC$56)&gt;0))))*((_xlfn.VSTACK($T30,(_xlfn._xlws.FILTER(((($AC$8:$AC$56)&gt;$N30)*1)*((($AC$8:$AC$56)&lt;$O30)*1)*($AD$8:$AD$56),((($AC$8:$AC$56)&gt;$N30)*1)*((($AC$8:$AC$56)&lt;$O30)))))+_xlfn.VSTACK((_xlfn._xlws.FILTER(((($AC$8:$AC$56)&gt;$N30)*1)*((($AC$8:$AC$56)&lt;$O30)*1)*($AD$8:$AD$56),((($AC$8:$AC$56)&gt;$N30)*1)*((($AC$8:$AC$56)&lt;$O30)))),$Y30))/2)),($O30-$N30)*($T30+$Y30)/2)</f>
        <v>1.0394230769230774</v>
      </c>
      <c r="AB30" s="27"/>
      <c r="AC30" s="50">
        <f>IF($B$4="Original WL",'Original Cross Section - 1st WL'!A30,'Updated Cross Section - New WL'!A31)</f>
        <v>28.3</v>
      </c>
      <c r="AD30" s="3">
        <f>IF($B$4="Original WL",'Original Cross Section - 1st WL'!C30,'Updated Cross Section - New WL'!C31)</f>
        <v>1.3540000000000001</v>
      </c>
    </row>
    <row r="31" spans="1:30" x14ac:dyDescent="0.25">
      <c r="A31" s="32">
        <v>34</v>
      </c>
      <c r="B31" s="33">
        <v>0.3</v>
      </c>
      <c r="C31" s="35">
        <v>0.85699999999999998</v>
      </c>
      <c r="D31" s="18">
        <f t="shared" si="0"/>
        <v>0.21000000000000008</v>
      </c>
      <c r="E31" s="3">
        <f t="shared" si="1"/>
        <v>5.3991000000000018E-2</v>
      </c>
      <c r="F31" s="34"/>
      <c r="H31" s="23">
        <f t="shared" si="2"/>
        <v>33.5</v>
      </c>
      <c r="I31" s="23">
        <f t="shared" si="3"/>
        <v>34.5</v>
      </c>
      <c r="J31" s="23">
        <f t="shared" si="4"/>
        <v>0.42000000000000015</v>
      </c>
      <c r="K31" s="23">
        <f t="shared" si="5"/>
        <v>0</v>
      </c>
      <c r="L31" s="23">
        <f t="shared" si="6"/>
        <v>0.21000000000000085</v>
      </c>
      <c r="M31" s="23"/>
      <c r="N31" s="23">
        <f t="shared" si="18"/>
        <v>33.5</v>
      </c>
      <c r="O31" s="23">
        <f t="shared" si="7"/>
        <v>34.75</v>
      </c>
      <c r="P31" s="23">
        <f t="shared" si="8"/>
        <v>33.5</v>
      </c>
      <c r="Q31" s="23">
        <f t="shared" si="9"/>
        <v>33.5</v>
      </c>
      <c r="R31" s="23">
        <f t="shared" si="10"/>
        <v>0.42000000000000015</v>
      </c>
      <c r="S31" s="23">
        <f t="shared" si="11"/>
        <v>0.42000000000000015</v>
      </c>
      <c r="T31" s="23">
        <f t="shared" si="12"/>
        <v>0.42000000000000015</v>
      </c>
      <c r="U31" s="23">
        <f t="shared" si="13"/>
        <v>34.5</v>
      </c>
      <c r="V31" s="23">
        <f t="shared" si="14"/>
        <v>35.5</v>
      </c>
      <c r="W31" s="23">
        <f t="shared" si="15"/>
        <v>0</v>
      </c>
      <c r="X31" s="23">
        <f t="shared" si="16"/>
        <v>0</v>
      </c>
      <c r="Y31" s="23">
        <f t="shared" si="17"/>
        <v>0</v>
      </c>
      <c r="Z31" s="26"/>
      <c r="AA31" s="30" cm="1">
        <f t="array" ref="AA31">IF(SUM(((($AC$8:$AC$56)&gt;$N31)*1)*((($AC$8:$AC$56)&lt;$O31)*1))&gt;0,SUM((_xlfn.VSTACK((_xlfn._xlws.FILTER(((($AC$8:$AC$56)&gt;$N31)*1)*((($AC$8:$AC$56)&lt;$O31)*1)*($AC$8:$AC$56),((($AC$8:$AC$56)&gt;$N31)*1)*((($AC$8:$AC$56)&lt;$O31)*1)*($AC$8:$AC$56)&gt;0)),$O31)-_xlfn.VSTACK($N31,(_xlfn._xlws.FILTER(((($AC$8:$AC$56)&gt;$N31)*1)*((($AC$8:$AC$56)&lt;$O31)*1)*($AC$8:$AC$56),((($AC$8:$AC$56)&gt;$N31)*1)*((($AC$8:$AC$56)&lt;$O31)*1)*($AC$8:$AC$56)&gt;0))))*((_xlfn.VSTACK($T31,(_xlfn._xlws.FILTER(((($AC$8:$AC$56)&gt;$N31)*1)*((($AC$8:$AC$56)&lt;$O31)*1)*($AD$8:$AD$56),((($AC$8:$AC$56)&gt;$N31)*1)*((($AC$8:$AC$56)&lt;$O31)))))+_xlfn.VSTACK((_xlfn._xlws.FILTER(((($AC$8:$AC$56)&gt;$N31)*1)*((($AC$8:$AC$56)&lt;$O31)*1)*($AD$8:$AD$56),((($AC$8:$AC$56)&gt;$N31)*1)*((($AC$8:$AC$56)&lt;$O31)))),$Y31))/2)),($O31-$N31)*($T31+$Y31)/2)</f>
        <v>0.21000000000000008</v>
      </c>
      <c r="AB31" s="27"/>
      <c r="AC31" s="50">
        <f>IF($B$4="Original WL",'Original Cross Section - 1st WL'!A31,'Updated Cross Section - New WL'!A32)</f>
        <v>29.6</v>
      </c>
      <c r="AD31" s="3">
        <f>IF($B$4="Original WL",'Original Cross Section - 1st WL'!C31,'Updated Cross Section - New WL'!C32)</f>
        <v>1.2910000000000001</v>
      </c>
    </row>
    <row r="32" spans="1:30" x14ac:dyDescent="0.25">
      <c r="A32" s="32">
        <v>35.5</v>
      </c>
      <c r="B32" s="33">
        <v>0</v>
      </c>
      <c r="C32" s="35">
        <v>0.85699999999999998</v>
      </c>
      <c r="D32" s="18">
        <f t="shared" si="0"/>
        <v>0</v>
      </c>
      <c r="E32" s="3">
        <f t="shared" si="1"/>
        <v>0</v>
      </c>
      <c r="F32" s="34" t="s">
        <v>53</v>
      </c>
      <c r="H32" s="23">
        <f t="shared" si="2"/>
        <v>35.5</v>
      </c>
      <c r="I32" s="23">
        <f t="shared" si="3"/>
        <v>35.5</v>
      </c>
      <c r="J32" s="23">
        <f t="shared" si="4"/>
        <v>0</v>
      </c>
      <c r="K32" s="23">
        <f t="shared" si="5"/>
        <v>0</v>
      </c>
      <c r="L32" s="23">
        <f t="shared" si="6"/>
        <v>0</v>
      </c>
      <c r="M32" s="23"/>
      <c r="N32" s="23">
        <f t="shared" si="18"/>
        <v>34.75</v>
      </c>
      <c r="O32" s="23">
        <f t="shared" si="7"/>
        <v>35.5</v>
      </c>
      <c r="P32" s="23">
        <f t="shared" si="8"/>
        <v>34.5</v>
      </c>
      <c r="Q32" s="23">
        <f t="shared" si="9"/>
        <v>35.5</v>
      </c>
      <c r="R32" s="23">
        <f t="shared" si="10"/>
        <v>0</v>
      </c>
      <c r="S32" s="23">
        <f t="shared" si="11"/>
        <v>0</v>
      </c>
      <c r="T32" s="23">
        <f t="shared" si="12"/>
        <v>0</v>
      </c>
      <c r="U32" s="23">
        <f t="shared" si="13"/>
        <v>35.5</v>
      </c>
      <c r="V32" s="23">
        <f t="shared" si="14"/>
        <v>35.5</v>
      </c>
      <c r="W32" s="23">
        <f t="shared" si="15"/>
        <v>0</v>
      </c>
      <c r="X32" s="23">
        <f t="shared" si="16"/>
        <v>0</v>
      </c>
      <c r="Y32" s="23">
        <f t="shared" si="17"/>
        <v>0</v>
      </c>
      <c r="Z32" s="26"/>
      <c r="AA32" s="30" cm="1">
        <f t="array" ref="AA32">IF(SUM(((($AC$8:$AC$56)&gt;$N32)*1)*((($AC$8:$AC$56)&lt;$O32)*1))&gt;0,SUM((_xlfn.VSTACK((_xlfn._xlws.FILTER(((($AC$8:$AC$56)&gt;$N32)*1)*((($AC$8:$AC$56)&lt;$O32)*1)*($AC$8:$AC$56),((($AC$8:$AC$56)&gt;$N32)*1)*((($AC$8:$AC$56)&lt;$O32)*1)*($AC$8:$AC$56)&gt;0)),$O32)-_xlfn.VSTACK($N32,(_xlfn._xlws.FILTER(((($AC$8:$AC$56)&gt;$N32)*1)*((($AC$8:$AC$56)&lt;$O32)*1)*($AC$8:$AC$56),((($AC$8:$AC$56)&gt;$N32)*1)*((($AC$8:$AC$56)&lt;$O32)*1)*($AC$8:$AC$56)&gt;0))))*((_xlfn.VSTACK($T32,(_xlfn._xlws.FILTER(((($AC$8:$AC$56)&gt;$N32)*1)*((($AC$8:$AC$56)&lt;$O32)*1)*($AD$8:$AD$56),((($AC$8:$AC$56)&gt;$N32)*1)*((($AC$8:$AC$56)&lt;$O32)))))+_xlfn.VSTACK((_xlfn._xlws.FILTER(((($AC$8:$AC$56)&gt;$N32)*1)*((($AC$8:$AC$56)&lt;$O32)*1)*($AD$8:$AD$56),((($AC$8:$AC$56)&gt;$N32)*1)*((($AC$8:$AC$56)&lt;$O32)))),$Y32))/2)),($O32-$N32)*($T32+$Y32)/2)</f>
        <v>0</v>
      </c>
      <c r="AB32" s="27"/>
      <c r="AC32" s="50">
        <f>IF($B$4="Original WL",'Original Cross Section - 1st WL'!A32,'Updated Cross Section - New WL'!A33)</f>
        <v>30.9</v>
      </c>
      <c r="AD32" s="3">
        <f>IF($B$4="Original WL",'Original Cross Section - 1st WL'!C32,'Updated Cross Section - New WL'!C33)</f>
        <v>1.3690000000000002</v>
      </c>
    </row>
    <row r="33" spans="1:30" x14ac:dyDescent="0.25">
      <c r="A33" s="32"/>
      <c r="B33" s="33"/>
      <c r="C33" s="35"/>
      <c r="D33" s="18">
        <f t="shared" si="0"/>
        <v>0</v>
      </c>
      <c r="E33" s="3">
        <f t="shared" si="1"/>
        <v>0</v>
      </c>
      <c r="F33" s="34"/>
      <c r="H33" s="23">
        <f t="shared" si="2"/>
        <v>35.5</v>
      </c>
      <c r="I33" s="23">
        <f t="shared" si="3"/>
        <v>35.5</v>
      </c>
      <c r="J33" s="23">
        <f t="shared" si="4"/>
        <v>0</v>
      </c>
      <c r="K33" s="23">
        <f t="shared" si="5"/>
        <v>0</v>
      </c>
      <c r="L33" s="23">
        <f t="shared" si="6"/>
        <v>0</v>
      </c>
      <c r="M33" s="23"/>
      <c r="N33" s="23">
        <f t="shared" si="18"/>
        <v>35.5</v>
      </c>
      <c r="O33" s="23">
        <f t="shared" si="7"/>
        <v>35.5</v>
      </c>
      <c r="P33" s="23">
        <f t="shared" si="8"/>
        <v>35.5</v>
      </c>
      <c r="Q33" s="23">
        <f t="shared" si="9"/>
        <v>35.5</v>
      </c>
      <c r="R33" s="23">
        <f t="shared" si="10"/>
        <v>0</v>
      </c>
      <c r="S33" s="23">
        <f t="shared" si="11"/>
        <v>0</v>
      </c>
      <c r="T33" s="23">
        <f t="shared" si="12"/>
        <v>0</v>
      </c>
      <c r="U33" s="23">
        <f t="shared" si="13"/>
        <v>35.5</v>
      </c>
      <c r="V33" s="23">
        <f t="shared" si="14"/>
        <v>35.5</v>
      </c>
      <c r="W33" s="23">
        <f t="shared" si="15"/>
        <v>0</v>
      </c>
      <c r="X33" s="23">
        <f t="shared" si="16"/>
        <v>0</v>
      </c>
      <c r="Y33" s="23">
        <f t="shared" si="17"/>
        <v>0</v>
      </c>
      <c r="Z33" s="26"/>
      <c r="AA33" s="30" cm="1">
        <f t="array" ref="AA33">IF(SUM(((($AC$8:$AC$56)&gt;$N33)*1)*((($AC$8:$AC$56)&lt;$O33)*1))&gt;0,SUM((_xlfn.VSTACK((_xlfn._xlws.FILTER(((($AC$8:$AC$56)&gt;$N33)*1)*((($AC$8:$AC$56)&lt;$O33)*1)*($AC$8:$AC$56),((($AC$8:$AC$56)&gt;$N33)*1)*((($AC$8:$AC$56)&lt;$O33)*1)*($AC$8:$AC$56)&gt;0)),$O33)-_xlfn.VSTACK($N33,(_xlfn._xlws.FILTER(((($AC$8:$AC$56)&gt;$N33)*1)*((($AC$8:$AC$56)&lt;$O33)*1)*($AC$8:$AC$56),((($AC$8:$AC$56)&gt;$N33)*1)*((($AC$8:$AC$56)&lt;$O33)*1)*($AC$8:$AC$56)&gt;0))))*((_xlfn.VSTACK($T33,(_xlfn._xlws.FILTER(((($AC$8:$AC$56)&gt;$N33)*1)*((($AC$8:$AC$56)&lt;$O33)*1)*($AD$8:$AD$56),((($AC$8:$AC$56)&gt;$N33)*1)*((($AC$8:$AC$56)&lt;$O33)))))+_xlfn.VSTACK((_xlfn._xlws.FILTER(((($AC$8:$AC$56)&gt;$N33)*1)*((($AC$8:$AC$56)&lt;$O33)*1)*($AD$8:$AD$56),((($AC$8:$AC$56)&gt;$N33)*1)*((($AC$8:$AC$56)&lt;$O33)))),$Y33))/2)),($O33-$N33)*($T33+$Y33)/2)</f>
        <v>0</v>
      </c>
      <c r="AB33" s="27"/>
      <c r="AC33" s="50">
        <f>IF($B$4="Original WL",'Original Cross Section - 1st WL'!A33,'Updated Cross Section - New WL'!A34)</f>
        <v>32.200000000000003</v>
      </c>
      <c r="AD33" s="3">
        <f>IF($B$4="Original WL",'Original Cross Section - 1st WL'!C33,'Updated Cross Section - New WL'!C34)</f>
        <v>1.2760000000000002</v>
      </c>
    </row>
    <row r="34" spans="1:30" x14ac:dyDescent="0.25">
      <c r="A34" s="32"/>
      <c r="B34" s="33"/>
      <c r="C34" s="35"/>
      <c r="D34" s="18">
        <f t="shared" si="0"/>
        <v>0</v>
      </c>
      <c r="E34" s="3">
        <f t="shared" si="1"/>
        <v>0</v>
      </c>
      <c r="F34" s="34"/>
      <c r="H34" s="23">
        <f t="shared" si="2"/>
        <v>35.5</v>
      </c>
      <c r="I34" s="23">
        <f t="shared" si="3"/>
        <v>35.5</v>
      </c>
      <c r="J34" s="23">
        <f t="shared" si="4"/>
        <v>0</v>
      </c>
      <c r="K34" s="23">
        <f t="shared" si="5"/>
        <v>0</v>
      </c>
      <c r="L34" s="23">
        <f t="shared" si="6"/>
        <v>0</v>
      </c>
      <c r="M34" s="23"/>
      <c r="N34" s="23">
        <f t="shared" si="18"/>
        <v>35.5</v>
      </c>
      <c r="O34" s="23">
        <f t="shared" si="7"/>
        <v>35.5</v>
      </c>
      <c r="P34" s="23">
        <f t="shared" si="8"/>
        <v>35.5</v>
      </c>
      <c r="Q34" s="23">
        <f t="shared" si="9"/>
        <v>35.5</v>
      </c>
      <c r="R34" s="23">
        <f t="shared" si="10"/>
        <v>0</v>
      </c>
      <c r="S34" s="23">
        <f t="shared" si="11"/>
        <v>0</v>
      </c>
      <c r="T34" s="23">
        <f t="shared" si="12"/>
        <v>0</v>
      </c>
      <c r="U34" s="23">
        <f t="shared" si="13"/>
        <v>35.5</v>
      </c>
      <c r="V34" s="23">
        <f t="shared" si="14"/>
        <v>35.5</v>
      </c>
      <c r="W34" s="23">
        <f t="shared" si="15"/>
        <v>0</v>
      </c>
      <c r="X34" s="23">
        <f t="shared" si="16"/>
        <v>0</v>
      </c>
      <c r="Y34" s="23">
        <f t="shared" si="17"/>
        <v>0</v>
      </c>
      <c r="Z34" s="26"/>
      <c r="AA34" s="30" cm="1">
        <f t="array" ref="AA34">IF(SUM(((($AC$8:$AC$56)&gt;$N34)*1)*((($AC$8:$AC$56)&lt;$O34)*1))&gt;0,SUM((_xlfn.VSTACK((_xlfn._xlws.FILTER(((($AC$8:$AC$56)&gt;$N34)*1)*((($AC$8:$AC$56)&lt;$O34)*1)*($AC$8:$AC$56),((($AC$8:$AC$56)&gt;$N34)*1)*((($AC$8:$AC$56)&lt;$O34)*1)*($AC$8:$AC$56)&gt;0)),$O34)-_xlfn.VSTACK($N34,(_xlfn._xlws.FILTER(((($AC$8:$AC$56)&gt;$N34)*1)*((($AC$8:$AC$56)&lt;$O34)*1)*($AC$8:$AC$56),((($AC$8:$AC$56)&gt;$N34)*1)*((($AC$8:$AC$56)&lt;$O34)*1)*($AC$8:$AC$56)&gt;0))))*((_xlfn.VSTACK($T34,(_xlfn._xlws.FILTER(((($AC$8:$AC$56)&gt;$N34)*1)*((($AC$8:$AC$56)&lt;$O34)*1)*($AD$8:$AD$56),((($AC$8:$AC$56)&gt;$N34)*1)*((($AC$8:$AC$56)&lt;$O34)))))+_xlfn.VSTACK((_xlfn._xlws.FILTER(((($AC$8:$AC$56)&gt;$N34)*1)*((($AC$8:$AC$56)&lt;$O34)*1)*($AD$8:$AD$56),((($AC$8:$AC$56)&gt;$N34)*1)*((($AC$8:$AC$56)&lt;$O34)))),$Y34))/2)),($O34-$N34)*($T34+$Y34)/2)</f>
        <v>0</v>
      </c>
      <c r="AB34" s="27"/>
      <c r="AC34" s="50">
        <f>IF($B$4="Original WL",'Original Cross Section - 1st WL'!A34,'Updated Cross Section - New WL'!A35)</f>
        <v>33.5</v>
      </c>
      <c r="AD34" s="3">
        <f>IF($B$4="Original WL",'Original Cross Section - 1st WL'!C34,'Updated Cross Section - New WL'!C35)</f>
        <v>0.42000000000000015</v>
      </c>
    </row>
    <row r="35" spans="1:30" x14ac:dyDescent="0.25">
      <c r="A35" s="32"/>
      <c r="B35" s="33"/>
      <c r="C35" s="35"/>
      <c r="D35" s="18">
        <f t="shared" si="0"/>
        <v>0</v>
      </c>
      <c r="E35" s="3">
        <f t="shared" si="1"/>
        <v>0</v>
      </c>
      <c r="F35" s="34"/>
      <c r="H35" s="23">
        <f t="shared" si="2"/>
        <v>35.5</v>
      </c>
      <c r="I35" s="23">
        <f t="shared" si="3"/>
        <v>35.5</v>
      </c>
      <c r="J35" s="23">
        <f t="shared" si="4"/>
        <v>0</v>
      </c>
      <c r="K35" s="23">
        <f t="shared" si="5"/>
        <v>0</v>
      </c>
      <c r="L35" s="23">
        <f t="shared" si="6"/>
        <v>0</v>
      </c>
      <c r="M35" s="23"/>
      <c r="N35" s="23">
        <f t="shared" si="18"/>
        <v>35.5</v>
      </c>
      <c r="O35" s="23">
        <f t="shared" si="7"/>
        <v>35.5</v>
      </c>
      <c r="P35" s="23">
        <f t="shared" si="8"/>
        <v>35.5</v>
      </c>
      <c r="Q35" s="23">
        <f t="shared" si="9"/>
        <v>35.5</v>
      </c>
      <c r="R35" s="23">
        <f t="shared" si="10"/>
        <v>0</v>
      </c>
      <c r="S35" s="23">
        <f t="shared" si="11"/>
        <v>0</v>
      </c>
      <c r="T35" s="23">
        <f t="shared" si="12"/>
        <v>0</v>
      </c>
      <c r="U35" s="23">
        <f t="shared" si="13"/>
        <v>35.5</v>
      </c>
      <c r="V35" s="23">
        <f t="shared" si="14"/>
        <v>35.5</v>
      </c>
      <c r="W35" s="23">
        <f t="shared" si="15"/>
        <v>0</v>
      </c>
      <c r="X35" s="23">
        <f t="shared" si="16"/>
        <v>0</v>
      </c>
      <c r="Y35" s="23">
        <f t="shared" si="17"/>
        <v>0</v>
      </c>
      <c r="Z35" s="26"/>
      <c r="AA35" s="30" cm="1">
        <f t="array" ref="AA35">IF(SUM(((($AC$8:$AC$56)&gt;$N35)*1)*((($AC$8:$AC$56)&lt;$O35)*1))&gt;0,SUM((_xlfn.VSTACK((_xlfn._xlws.FILTER(((($AC$8:$AC$56)&gt;$N35)*1)*((($AC$8:$AC$56)&lt;$O35)*1)*($AC$8:$AC$56),((($AC$8:$AC$56)&gt;$N35)*1)*((($AC$8:$AC$56)&lt;$O35)*1)*($AC$8:$AC$56)&gt;0)),$O35)-_xlfn.VSTACK($N35,(_xlfn._xlws.FILTER(((($AC$8:$AC$56)&gt;$N35)*1)*((($AC$8:$AC$56)&lt;$O35)*1)*($AC$8:$AC$56),((($AC$8:$AC$56)&gt;$N35)*1)*((($AC$8:$AC$56)&lt;$O35)*1)*($AC$8:$AC$56)&gt;0))))*((_xlfn.VSTACK($T35,(_xlfn._xlws.FILTER(((($AC$8:$AC$56)&gt;$N35)*1)*((($AC$8:$AC$56)&lt;$O35)*1)*($AD$8:$AD$56),((($AC$8:$AC$56)&gt;$N35)*1)*((($AC$8:$AC$56)&lt;$O35)))))+_xlfn.VSTACK((_xlfn._xlws.FILTER(((($AC$8:$AC$56)&gt;$N35)*1)*((($AC$8:$AC$56)&lt;$O35)*1)*($AD$8:$AD$56),((($AC$8:$AC$56)&gt;$N35)*1)*((($AC$8:$AC$56)&lt;$O35)))),$Y35))/2)),($O35-$N35)*($T35+$Y35)/2)</f>
        <v>0</v>
      </c>
      <c r="AB35" s="27"/>
      <c r="AC35" s="50">
        <f>IF($B$4="Original WL",'Original Cross Section - 1st WL'!A35,'Updated Cross Section - New WL'!A36)</f>
        <v>34.5</v>
      </c>
      <c r="AD35" s="3">
        <f>IF($B$4="Original WL",'Original Cross Section - 1st WL'!C35,'Updated Cross Section - New WL'!C36)</f>
        <v>0</v>
      </c>
    </row>
    <row r="36" spans="1:30" x14ac:dyDescent="0.25">
      <c r="A36" s="32"/>
      <c r="B36" s="33"/>
      <c r="C36" s="35"/>
      <c r="D36" s="18">
        <f t="shared" si="0"/>
        <v>0</v>
      </c>
      <c r="E36" s="3">
        <f t="shared" si="1"/>
        <v>0</v>
      </c>
      <c r="F36" s="34"/>
      <c r="H36" s="23">
        <f t="shared" si="2"/>
        <v>35.5</v>
      </c>
      <c r="I36" s="23">
        <f t="shared" si="3"/>
        <v>35.5</v>
      </c>
      <c r="J36" s="23">
        <f t="shared" si="4"/>
        <v>0</v>
      </c>
      <c r="K36" s="23">
        <f t="shared" si="5"/>
        <v>0</v>
      </c>
      <c r="L36" s="23">
        <f t="shared" si="6"/>
        <v>0</v>
      </c>
      <c r="M36" s="23"/>
      <c r="N36" s="23">
        <f t="shared" si="18"/>
        <v>35.5</v>
      </c>
      <c r="O36" s="23">
        <f t="shared" si="7"/>
        <v>35.5</v>
      </c>
      <c r="P36" s="23">
        <f t="shared" si="8"/>
        <v>35.5</v>
      </c>
      <c r="Q36" s="23">
        <f t="shared" si="9"/>
        <v>35.5</v>
      </c>
      <c r="R36" s="23">
        <f t="shared" si="10"/>
        <v>0</v>
      </c>
      <c r="S36" s="23">
        <f t="shared" si="11"/>
        <v>0</v>
      </c>
      <c r="T36" s="23">
        <f t="shared" si="12"/>
        <v>0</v>
      </c>
      <c r="U36" s="23">
        <f t="shared" si="13"/>
        <v>35.5</v>
      </c>
      <c r="V36" s="23">
        <f t="shared" si="14"/>
        <v>35.5</v>
      </c>
      <c r="W36" s="23">
        <f t="shared" si="15"/>
        <v>0</v>
      </c>
      <c r="X36" s="23">
        <f t="shared" si="16"/>
        <v>0</v>
      </c>
      <c r="Y36" s="23">
        <f t="shared" si="17"/>
        <v>0</v>
      </c>
      <c r="Z36" s="26"/>
      <c r="AA36" s="30" cm="1">
        <f t="array" ref="AA36">IF(SUM(((($AC$8:$AC$56)&gt;$N36)*1)*((($AC$8:$AC$56)&lt;$O36)*1))&gt;0,SUM((_xlfn.VSTACK((_xlfn._xlws.FILTER(((($AC$8:$AC$56)&gt;$N36)*1)*((($AC$8:$AC$56)&lt;$O36)*1)*($AC$8:$AC$56),((($AC$8:$AC$56)&gt;$N36)*1)*((($AC$8:$AC$56)&lt;$O36)*1)*($AC$8:$AC$56)&gt;0)),$O36)-_xlfn.VSTACK($N36,(_xlfn._xlws.FILTER(((($AC$8:$AC$56)&gt;$N36)*1)*((($AC$8:$AC$56)&lt;$O36)*1)*($AC$8:$AC$56),((($AC$8:$AC$56)&gt;$N36)*1)*((($AC$8:$AC$56)&lt;$O36)*1)*($AC$8:$AC$56)&gt;0))))*((_xlfn.VSTACK($T36,(_xlfn._xlws.FILTER(((($AC$8:$AC$56)&gt;$N36)*1)*((($AC$8:$AC$56)&lt;$O36)*1)*($AD$8:$AD$56),((($AC$8:$AC$56)&gt;$N36)*1)*((($AC$8:$AC$56)&lt;$O36)))))+_xlfn.VSTACK((_xlfn._xlws.FILTER(((($AC$8:$AC$56)&gt;$N36)*1)*((($AC$8:$AC$56)&lt;$O36)*1)*($AD$8:$AD$56),((($AC$8:$AC$56)&gt;$N36)*1)*((($AC$8:$AC$56)&lt;$O36)))),$Y36))/2)),($O36-$N36)*($T36+$Y36)/2)</f>
        <v>0</v>
      </c>
      <c r="AB36" s="27"/>
      <c r="AC36" s="50">
        <f>IF($B$4="Original WL",'Original Cross Section - 1st WL'!A36,'Updated Cross Section - New WL'!A37)</f>
        <v>35.5</v>
      </c>
      <c r="AD36" s="3">
        <f>IF($B$4="Original WL",'Original Cross Section - 1st WL'!C36,'Updated Cross Section - New WL'!C37)</f>
        <v>0</v>
      </c>
    </row>
    <row r="37" spans="1:30" x14ac:dyDescent="0.25">
      <c r="A37" s="32"/>
      <c r="B37" s="33"/>
      <c r="C37" s="35"/>
      <c r="D37" s="18">
        <f t="shared" si="0"/>
        <v>0</v>
      </c>
      <c r="E37" s="3">
        <f t="shared" si="1"/>
        <v>0</v>
      </c>
      <c r="F37" s="34"/>
      <c r="H37" s="23">
        <f t="shared" si="2"/>
        <v>35.5</v>
      </c>
      <c r="I37" s="23">
        <f t="shared" si="3"/>
        <v>35.5</v>
      </c>
      <c r="J37" s="23">
        <f t="shared" si="4"/>
        <v>0</v>
      </c>
      <c r="K37" s="23">
        <f t="shared" si="5"/>
        <v>0</v>
      </c>
      <c r="L37" s="23">
        <f t="shared" si="6"/>
        <v>0</v>
      </c>
      <c r="M37" s="23"/>
      <c r="N37" s="23">
        <f t="shared" si="18"/>
        <v>35.5</v>
      </c>
      <c r="O37" s="23">
        <f t="shared" si="7"/>
        <v>35.5</v>
      </c>
      <c r="P37" s="23">
        <f t="shared" si="8"/>
        <v>35.5</v>
      </c>
      <c r="Q37" s="23">
        <f t="shared" si="9"/>
        <v>35.5</v>
      </c>
      <c r="R37" s="23">
        <f t="shared" si="10"/>
        <v>0</v>
      </c>
      <c r="S37" s="23">
        <f t="shared" si="11"/>
        <v>0</v>
      </c>
      <c r="T37" s="23">
        <f t="shared" si="12"/>
        <v>0</v>
      </c>
      <c r="U37" s="23">
        <f t="shared" si="13"/>
        <v>35.5</v>
      </c>
      <c r="V37" s="23">
        <f t="shared" si="14"/>
        <v>35.5</v>
      </c>
      <c r="W37" s="23">
        <f t="shared" si="15"/>
        <v>0</v>
      </c>
      <c r="X37" s="23">
        <f t="shared" si="16"/>
        <v>0</v>
      </c>
      <c r="Y37" s="23">
        <f t="shared" si="17"/>
        <v>0</v>
      </c>
      <c r="Z37" s="26"/>
      <c r="AA37" s="30" cm="1">
        <f t="array" ref="AA37">IF(SUM(((($AC$8:$AC$56)&gt;$N37)*1)*((($AC$8:$AC$56)&lt;$O37)*1))&gt;0,SUM((_xlfn.VSTACK((_xlfn._xlws.FILTER(((($AC$8:$AC$56)&gt;$N37)*1)*((($AC$8:$AC$56)&lt;$O37)*1)*($AC$8:$AC$56),((($AC$8:$AC$56)&gt;$N37)*1)*((($AC$8:$AC$56)&lt;$O37)*1)*($AC$8:$AC$56)&gt;0)),$O37)-_xlfn.VSTACK($N37,(_xlfn._xlws.FILTER(((($AC$8:$AC$56)&gt;$N37)*1)*((($AC$8:$AC$56)&lt;$O37)*1)*($AC$8:$AC$56),((($AC$8:$AC$56)&gt;$N37)*1)*((($AC$8:$AC$56)&lt;$O37)*1)*($AC$8:$AC$56)&gt;0))))*((_xlfn.VSTACK($T37,(_xlfn._xlws.FILTER(((($AC$8:$AC$56)&gt;$N37)*1)*((($AC$8:$AC$56)&lt;$O37)*1)*($AD$8:$AD$56),((($AC$8:$AC$56)&gt;$N37)*1)*((($AC$8:$AC$56)&lt;$O37)))))+_xlfn.VSTACK((_xlfn._xlws.FILTER(((($AC$8:$AC$56)&gt;$N37)*1)*((($AC$8:$AC$56)&lt;$O37)*1)*($AD$8:$AD$56),((($AC$8:$AC$56)&gt;$N37)*1)*((($AC$8:$AC$56)&lt;$O37)))),$Y37))/2)),($O37-$N37)*($T37+$Y37)/2)</f>
        <v>0</v>
      </c>
      <c r="AB37" s="27"/>
      <c r="AC37" s="50">
        <f>IF($B$4="Original WL",'Original Cross Section - 1st WL'!A37,'Updated Cross Section - New WL'!A38)</f>
        <v>35.5</v>
      </c>
      <c r="AD37" s="3">
        <f>IF($B$4="Original WL",'Original Cross Section - 1st WL'!C37,'Updated Cross Section - New WL'!C38)</f>
        <v>0</v>
      </c>
    </row>
    <row r="38" spans="1:30" x14ac:dyDescent="0.25">
      <c r="A38" s="32"/>
      <c r="B38" s="33"/>
      <c r="C38" s="35"/>
      <c r="D38" s="18">
        <f t="shared" si="0"/>
        <v>0</v>
      </c>
      <c r="E38" s="3">
        <f t="shared" si="1"/>
        <v>0</v>
      </c>
      <c r="F38" s="34"/>
      <c r="H38" s="23">
        <f t="shared" si="2"/>
        <v>35.5</v>
      </c>
      <c r="I38" s="23">
        <f t="shared" si="3"/>
        <v>35.5</v>
      </c>
      <c r="J38" s="23">
        <f t="shared" si="4"/>
        <v>0</v>
      </c>
      <c r="K38" s="23">
        <f t="shared" si="5"/>
        <v>0</v>
      </c>
      <c r="L38" s="23">
        <f t="shared" si="6"/>
        <v>0</v>
      </c>
      <c r="M38" s="23"/>
      <c r="N38" s="23">
        <f t="shared" si="18"/>
        <v>35.5</v>
      </c>
      <c r="O38" s="23">
        <f t="shared" si="7"/>
        <v>35.5</v>
      </c>
      <c r="P38" s="23">
        <f t="shared" si="8"/>
        <v>35.5</v>
      </c>
      <c r="Q38" s="23">
        <f t="shared" si="9"/>
        <v>35.5</v>
      </c>
      <c r="R38" s="23">
        <f t="shared" si="10"/>
        <v>0</v>
      </c>
      <c r="S38" s="23">
        <f t="shared" si="11"/>
        <v>0</v>
      </c>
      <c r="T38" s="23">
        <f t="shared" si="12"/>
        <v>0</v>
      </c>
      <c r="U38" s="23">
        <f t="shared" si="13"/>
        <v>35.5</v>
      </c>
      <c r="V38" s="23">
        <f t="shared" si="14"/>
        <v>35.5</v>
      </c>
      <c r="W38" s="23">
        <f t="shared" si="15"/>
        <v>0</v>
      </c>
      <c r="X38" s="23">
        <f t="shared" si="16"/>
        <v>0</v>
      </c>
      <c r="Y38" s="23">
        <f t="shared" si="17"/>
        <v>0</v>
      </c>
      <c r="Z38" s="26"/>
      <c r="AA38" s="30" cm="1">
        <f t="array" ref="AA38">IF(SUM(((($AC$8:$AC$56)&gt;$N38)*1)*((($AC$8:$AC$56)&lt;$O38)*1))&gt;0,SUM((_xlfn.VSTACK((_xlfn._xlws.FILTER(((($AC$8:$AC$56)&gt;$N38)*1)*((($AC$8:$AC$56)&lt;$O38)*1)*($AC$8:$AC$56),((($AC$8:$AC$56)&gt;$N38)*1)*((($AC$8:$AC$56)&lt;$O38)*1)*($AC$8:$AC$56)&gt;0)),$O38)-_xlfn.VSTACK($N38,(_xlfn._xlws.FILTER(((($AC$8:$AC$56)&gt;$N38)*1)*((($AC$8:$AC$56)&lt;$O38)*1)*($AC$8:$AC$56),((($AC$8:$AC$56)&gt;$N38)*1)*((($AC$8:$AC$56)&lt;$O38)*1)*($AC$8:$AC$56)&gt;0))))*((_xlfn.VSTACK($T38,(_xlfn._xlws.FILTER(((($AC$8:$AC$56)&gt;$N38)*1)*((($AC$8:$AC$56)&lt;$O38)*1)*($AD$8:$AD$56),((($AC$8:$AC$56)&gt;$N38)*1)*((($AC$8:$AC$56)&lt;$O38)))))+_xlfn.VSTACK((_xlfn._xlws.FILTER(((($AC$8:$AC$56)&gt;$N38)*1)*((($AC$8:$AC$56)&lt;$O38)*1)*($AD$8:$AD$56),((($AC$8:$AC$56)&gt;$N38)*1)*((($AC$8:$AC$56)&lt;$O38)))),$Y38))/2)),($O38-$N38)*($T38+$Y38)/2)</f>
        <v>0</v>
      </c>
      <c r="AB38" s="27"/>
      <c r="AC38" s="50">
        <f>IF($B$4="Original WL",'Original Cross Section - 1st WL'!A38,'Updated Cross Section - New WL'!A39)</f>
        <v>35.5</v>
      </c>
      <c r="AD38" s="3">
        <f>IF($B$4="Original WL",'Original Cross Section - 1st WL'!C38,'Updated Cross Section - New WL'!C39)</f>
        <v>0</v>
      </c>
    </row>
    <row r="39" spans="1:30" x14ac:dyDescent="0.25">
      <c r="A39" s="32"/>
      <c r="B39" s="33"/>
      <c r="C39" s="35"/>
      <c r="D39" s="18">
        <f t="shared" si="0"/>
        <v>0</v>
      </c>
      <c r="E39" s="3">
        <f t="shared" si="1"/>
        <v>0</v>
      </c>
      <c r="F39" s="34"/>
      <c r="H39" s="23">
        <f t="shared" si="2"/>
        <v>35.5</v>
      </c>
      <c r="I39" s="23">
        <f t="shared" si="3"/>
        <v>35.5</v>
      </c>
      <c r="J39" s="23">
        <f t="shared" si="4"/>
        <v>0</v>
      </c>
      <c r="K39" s="23">
        <f t="shared" si="5"/>
        <v>0</v>
      </c>
      <c r="L39" s="23">
        <f t="shared" si="6"/>
        <v>0</v>
      </c>
      <c r="M39" s="23"/>
      <c r="N39" s="23">
        <f t="shared" si="18"/>
        <v>35.5</v>
      </c>
      <c r="O39" s="23">
        <f t="shared" si="7"/>
        <v>35.5</v>
      </c>
      <c r="P39" s="23">
        <f t="shared" si="8"/>
        <v>35.5</v>
      </c>
      <c r="Q39" s="23">
        <f t="shared" si="9"/>
        <v>35.5</v>
      </c>
      <c r="R39" s="23">
        <f t="shared" si="10"/>
        <v>0</v>
      </c>
      <c r="S39" s="23">
        <f t="shared" si="11"/>
        <v>0</v>
      </c>
      <c r="T39" s="23">
        <f t="shared" si="12"/>
        <v>0</v>
      </c>
      <c r="U39" s="23">
        <f t="shared" si="13"/>
        <v>35.5</v>
      </c>
      <c r="V39" s="23">
        <f t="shared" si="14"/>
        <v>35.5</v>
      </c>
      <c r="W39" s="23">
        <f t="shared" si="15"/>
        <v>0</v>
      </c>
      <c r="X39" s="23">
        <f t="shared" si="16"/>
        <v>0</v>
      </c>
      <c r="Y39" s="23">
        <f t="shared" si="17"/>
        <v>0</v>
      </c>
      <c r="Z39" s="26"/>
      <c r="AA39" s="30" cm="1">
        <f t="array" ref="AA39">IF(SUM(((($AC$8:$AC$56)&gt;$N39)*1)*((($AC$8:$AC$56)&lt;$O39)*1))&gt;0,SUM((_xlfn.VSTACK((_xlfn._xlws.FILTER(((($AC$8:$AC$56)&gt;$N39)*1)*((($AC$8:$AC$56)&lt;$O39)*1)*($AC$8:$AC$56),((($AC$8:$AC$56)&gt;$N39)*1)*((($AC$8:$AC$56)&lt;$O39)*1)*($AC$8:$AC$56)&gt;0)),$O39)-_xlfn.VSTACK($N39,(_xlfn._xlws.FILTER(((($AC$8:$AC$56)&gt;$N39)*1)*((($AC$8:$AC$56)&lt;$O39)*1)*($AC$8:$AC$56),((($AC$8:$AC$56)&gt;$N39)*1)*((($AC$8:$AC$56)&lt;$O39)*1)*($AC$8:$AC$56)&gt;0))))*((_xlfn.VSTACK($T39,(_xlfn._xlws.FILTER(((($AC$8:$AC$56)&gt;$N39)*1)*((($AC$8:$AC$56)&lt;$O39)*1)*($AD$8:$AD$56),((($AC$8:$AC$56)&gt;$N39)*1)*((($AC$8:$AC$56)&lt;$O39)))))+_xlfn.VSTACK((_xlfn._xlws.FILTER(((($AC$8:$AC$56)&gt;$N39)*1)*((($AC$8:$AC$56)&lt;$O39)*1)*($AD$8:$AD$56),((($AC$8:$AC$56)&gt;$N39)*1)*((($AC$8:$AC$56)&lt;$O39)))),$Y39))/2)),($O39-$N39)*($T39+$Y39)/2)</f>
        <v>0</v>
      </c>
      <c r="AB39" s="27"/>
      <c r="AC39" s="50">
        <f>IF($B$4="Original WL",'Original Cross Section - 1st WL'!A39,'Updated Cross Section - New WL'!A40)</f>
        <v>35.5</v>
      </c>
      <c r="AD39" s="3">
        <f>IF($B$4="Original WL",'Original Cross Section - 1st WL'!C39,'Updated Cross Section - New WL'!C40)</f>
        <v>0</v>
      </c>
    </row>
    <row r="40" spans="1:30" x14ac:dyDescent="0.25">
      <c r="A40" s="32"/>
      <c r="B40" s="33"/>
      <c r="C40" s="35"/>
      <c r="D40" s="18">
        <f t="shared" si="0"/>
        <v>0</v>
      </c>
      <c r="E40" s="3">
        <f t="shared" si="1"/>
        <v>0</v>
      </c>
      <c r="F40" s="34"/>
      <c r="H40" s="23">
        <f t="shared" si="2"/>
        <v>35.5</v>
      </c>
      <c r="I40" s="23">
        <f t="shared" si="3"/>
        <v>35.5</v>
      </c>
      <c r="J40" s="23">
        <f t="shared" si="4"/>
        <v>0</v>
      </c>
      <c r="K40" s="23">
        <f t="shared" si="5"/>
        <v>0</v>
      </c>
      <c r="L40" s="23">
        <f t="shared" si="6"/>
        <v>0</v>
      </c>
      <c r="M40" s="23"/>
      <c r="N40" s="23">
        <f t="shared" si="18"/>
        <v>35.5</v>
      </c>
      <c r="O40" s="23">
        <f t="shared" si="7"/>
        <v>35.5</v>
      </c>
      <c r="P40" s="23">
        <f t="shared" si="8"/>
        <v>35.5</v>
      </c>
      <c r="Q40" s="23">
        <f t="shared" si="9"/>
        <v>35.5</v>
      </c>
      <c r="R40" s="23">
        <f t="shared" si="10"/>
        <v>0</v>
      </c>
      <c r="S40" s="23">
        <f t="shared" si="11"/>
        <v>0</v>
      </c>
      <c r="T40" s="23">
        <f t="shared" si="12"/>
        <v>0</v>
      </c>
      <c r="U40" s="23">
        <f t="shared" si="13"/>
        <v>35.5</v>
      </c>
      <c r="V40" s="23">
        <f t="shared" si="14"/>
        <v>35.5</v>
      </c>
      <c r="W40" s="23">
        <f t="shared" si="15"/>
        <v>0</v>
      </c>
      <c r="X40" s="23">
        <f t="shared" si="16"/>
        <v>0</v>
      </c>
      <c r="Y40" s="23">
        <f t="shared" si="17"/>
        <v>0</v>
      </c>
      <c r="Z40" s="26"/>
      <c r="AA40" s="30" cm="1">
        <f t="array" ref="AA40">IF(SUM(((($AC$8:$AC$56)&gt;$N40)*1)*((($AC$8:$AC$56)&lt;$O40)*1))&gt;0,SUM((_xlfn.VSTACK((_xlfn._xlws.FILTER(((($AC$8:$AC$56)&gt;$N40)*1)*((($AC$8:$AC$56)&lt;$O40)*1)*($AC$8:$AC$56),((($AC$8:$AC$56)&gt;$N40)*1)*((($AC$8:$AC$56)&lt;$O40)*1)*($AC$8:$AC$56)&gt;0)),$O40)-_xlfn.VSTACK($N40,(_xlfn._xlws.FILTER(((($AC$8:$AC$56)&gt;$N40)*1)*((($AC$8:$AC$56)&lt;$O40)*1)*($AC$8:$AC$56),((($AC$8:$AC$56)&gt;$N40)*1)*((($AC$8:$AC$56)&lt;$O40)*1)*($AC$8:$AC$56)&gt;0))))*((_xlfn.VSTACK($T40,(_xlfn._xlws.FILTER(((($AC$8:$AC$56)&gt;$N40)*1)*((($AC$8:$AC$56)&lt;$O40)*1)*($AD$8:$AD$56),((($AC$8:$AC$56)&gt;$N40)*1)*((($AC$8:$AC$56)&lt;$O40)))))+_xlfn.VSTACK((_xlfn._xlws.FILTER(((($AC$8:$AC$56)&gt;$N40)*1)*((($AC$8:$AC$56)&lt;$O40)*1)*($AD$8:$AD$56),((($AC$8:$AC$56)&gt;$N40)*1)*((($AC$8:$AC$56)&lt;$O40)))),$Y40))/2)),($O40-$N40)*($T40+$Y40)/2)</f>
        <v>0</v>
      </c>
      <c r="AB40" s="27"/>
      <c r="AC40" s="50">
        <f>IF($B$4="Original WL",'Original Cross Section - 1st WL'!A40,'Updated Cross Section - New WL'!A41)</f>
        <v>35.5</v>
      </c>
      <c r="AD40" s="3">
        <f>IF($B$4="Original WL",'Original Cross Section - 1st WL'!C40,'Updated Cross Section - New WL'!C41)</f>
        <v>0</v>
      </c>
    </row>
    <row r="41" spans="1:30" x14ac:dyDescent="0.25">
      <c r="A41" s="32"/>
      <c r="B41" s="33"/>
      <c r="C41" s="35"/>
      <c r="D41" s="18">
        <f t="shared" si="0"/>
        <v>0</v>
      </c>
      <c r="E41" s="3">
        <f t="shared" si="1"/>
        <v>0</v>
      </c>
      <c r="F41" s="34"/>
      <c r="H41" s="23">
        <f t="shared" si="2"/>
        <v>35.5</v>
      </c>
      <c r="I41" s="23">
        <f t="shared" si="3"/>
        <v>35.5</v>
      </c>
      <c r="J41" s="23">
        <f t="shared" si="4"/>
        <v>0</v>
      </c>
      <c r="K41" s="23">
        <f t="shared" si="5"/>
        <v>0</v>
      </c>
      <c r="L41" s="23">
        <f t="shared" si="6"/>
        <v>0</v>
      </c>
      <c r="M41" s="23"/>
      <c r="N41" s="23">
        <f t="shared" si="18"/>
        <v>35.5</v>
      </c>
      <c r="O41" s="23">
        <f t="shared" si="7"/>
        <v>35.5</v>
      </c>
      <c r="P41" s="23">
        <f t="shared" si="8"/>
        <v>35.5</v>
      </c>
      <c r="Q41" s="23">
        <f t="shared" si="9"/>
        <v>35.5</v>
      </c>
      <c r="R41" s="23">
        <f t="shared" si="10"/>
        <v>0</v>
      </c>
      <c r="S41" s="23">
        <f t="shared" si="11"/>
        <v>0</v>
      </c>
      <c r="T41" s="23">
        <f t="shared" si="12"/>
        <v>0</v>
      </c>
      <c r="U41" s="23">
        <f t="shared" si="13"/>
        <v>35.5</v>
      </c>
      <c r="V41" s="23">
        <f t="shared" si="14"/>
        <v>35.5</v>
      </c>
      <c r="W41" s="23">
        <f t="shared" si="15"/>
        <v>0</v>
      </c>
      <c r="X41" s="23">
        <f t="shared" si="16"/>
        <v>0</v>
      </c>
      <c r="Y41" s="23">
        <f t="shared" si="17"/>
        <v>0</v>
      </c>
      <c r="Z41" s="26"/>
      <c r="AA41" s="30" cm="1">
        <f t="array" ref="AA41">IF(SUM(((($AC$8:$AC$56)&gt;$N41)*1)*((($AC$8:$AC$56)&lt;$O41)*1))&gt;0,SUM((_xlfn.VSTACK((_xlfn._xlws.FILTER(((($AC$8:$AC$56)&gt;$N41)*1)*((($AC$8:$AC$56)&lt;$O41)*1)*($AC$8:$AC$56),((($AC$8:$AC$56)&gt;$N41)*1)*((($AC$8:$AC$56)&lt;$O41)*1)*($AC$8:$AC$56)&gt;0)),$O41)-_xlfn.VSTACK($N41,(_xlfn._xlws.FILTER(((($AC$8:$AC$56)&gt;$N41)*1)*((($AC$8:$AC$56)&lt;$O41)*1)*($AC$8:$AC$56),((($AC$8:$AC$56)&gt;$N41)*1)*((($AC$8:$AC$56)&lt;$O41)*1)*($AC$8:$AC$56)&gt;0))))*((_xlfn.VSTACK($T41,(_xlfn._xlws.FILTER(((($AC$8:$AC$56)&gt;$N41)*1)*((($AC$8:$AC$56)&lt;$O41)*1)*($AD$8:$AD$56),((($AC$8:$AC$56)&gt;$N41)*1)*((($AC$8:$AC$56)&lt;$O41)))))+_xlfn.VSTACK((_xlfn._xlws.FILTER(((($AC$8:$AC$56)&gt;$N41)*1)*((($AC$8:$AC$56)&lt;$O41)*1)*($AD$8:$AD$56),((($AC$8:$AC$56)&gt;$N41)*1)*((($AC$8:$AC$56)&lt;$O41)))),$Y41))/2)),($O41-$N41)*($T41+$Y41)/2)</f>
        <v>0</v>
      </c>
      <c r="AB41" s="27"/>
      <c r="AC41" s="50">
        <f>IF($B$4="Original WL",'Original Cross Section - 1st WL'!A41,'Updated Cross Section - New WL'!A42)</f>
        <v>35.5</v>
      </c>
      <c r="AD41" s="3">
        <f>IF($B$4="Original WL",'Original Cross Section - 1st WL'!C41,'Updated Cross Section - New WL'!C42)</f>
        <v>0</v>
      </c>
    </row>
    <row r="42" spans="1:30" x14ac:dyDescent="0.25">
      <c r="A42" s="32"/>
      <c r="B42" s="33"/>
      <c r="C42" s="35"/>
      <c r="D42" s="18">
        <f t="shared" si="0"/>
        <v>0</v>
      </c>
      <c r="E42" s="3">
        <f t="shared" si="1"/>
        <v>0</v>
      </c>
      <c r="F42" s="34"/>
      <c r="H42" s="23">
        <f t="shared" si="2"/>
        <v>35.5</v>
      </c>
      <c r="I42" s="23">
        <f t="shared" si="3"/>
        <v>35.5</v>
      </c>
      <c r="J42" s="23">
        <f t="shared" si="4"/>
        <v>0</v>
      </c>
      <c r="K42" s="23">
        <f t="shared" si="5"/>
        <v>0</v>
      </c>
      <c r="L42" s="23">
        <f t="shared" si="6"/>
        <v>0</v>
      </c>
      <c r="M42" s="23"/>
      <c r="N42" s="23">
        <f t="shared" si="18"/>
        <v>35.5</v>
      </c>
      <c r="O42" s="23">
        <f t="shared" si="7"/>
        <v>35.5</v>
      </c>
      <c r="P42" s="23">
        <f t="shared" si="8"/>
        <v>35.5</v>
      </c>
      <c r="Q42" s="23">
        <f t="shared" si="9"/>
        <v>35.5</v>
      </c>
      <c r="R42" s="23">
        <f t="shared" si="10"/>
        <v>0</v>
      </c>
      <c r="S42" s="23">
        <f t="shared" si="11"/>
        <v>0</v>
      </c>
      <c r="T42" s="23">
        <f t="shared" si="12"/>
        <v>0</v>
      </c>
      <c r="U42" s="23">
        <f t="shared" si="13"/>
        <v>35.5</v>
      </c>
      <c r="V42" s="23">
        <f t="shared" si="14"/>
        <v>35.5</v>
      </c>
      <c r="W42" s="23">
        <f t="shared" si="15"/>
        <v>0</v>
      </c>
      <c r="X42" s="23">
        <f t="shared" si="16"/>
        <v>0</v>
      </c>
      <c r="Y42" s="23">
        <f t="shared" si="17"/>
        <v>0</v>
      </c>
      <c r="Z42" s="26"/>
      <c r="AA42" s="30" cm="1">
        <f t="array" ref="AA42">IF(SUM(((($AC$8:$AC$56)&gt;$N42)*1)*((($AC$8:$AC$56)&lt;$O42)*1))&gt;0,SUM((_xlfn.VSTACK((_xlfn._xlws.FILTER(((($AC$8:$AC$56)&gt;$N42)*1)*((($AC$8:$AC$56)&lt;$O42)*1)*($AC$8:$AC$56),((($AC$8:$AC$56)&gt;$N42)*1)*((($AC$8:$AC$56)&lt;$O42)*1)*($AC$8:$AC$56)&gt;0)),$O42)-_xlfn.VSTACK($N42,(_xlfn._xlws.FILTER(((($AC$8:$AC$56)&gt;$N42)*1)*((($AC$8:$AC$56)&lt;$O42)*1)*($AC$8:$AC$56),((($AC$8:$AC$56)&gt;$N42)*1)*((($AC$8:$AC$56)&lt;$O42)*1)*($AC$8:$AC$56)&gt;0))))*((_xlfn.VSTACK($T42,(_xlfn._xlws.FILTER(((($AC$8:$AC$56)&gt;$N42)*1)*((($AC$8:$AC$56)&lt;$O42)*1)*($AD$8:$AD$56),((($AC$8:$AC$56)&gt;$N42)*1)*((($AC$8:$AC$56)&lt;$O42)))))+_xlfn.VSTACK((_xlfn._xlws.FILTER(((($AC$8:$AC$56)&gt;$N42)*1)*((($AC$8:$AC$56)&lt;$O42)*1)*($AD$8:$AD$56),((($AC$8:$AC$56)&gt;$N42)*1)*((($AC$8:$AC$56)&lt;$O42)))),$Y42))/2)),($O42-$N42)*($T42+$Y42)/2)</f>
        <v>0</v>
      </c>
      <c r="AB42" s="27"/>
      <c r="AC42" s="50">
        <f>IF($B$4="Original WL",'Original Cross Section - 1st WL'!A42,'Updated Cross Section - New WL'!A43)</f>
        <v>35.5</v>
      </c>
      <c r="AD42" s="3">
        <f>IF($B$4="Original WL",'Original Cross Section - 1st WL'!C42,'Updated Cross Section - New WL'!C43)</f>
        <v>0</v>
      </c>
    </row>
    <row r="43" spans="1:30" x14ac:dyDescent="0.25">
      <c r="A43" s="32"/>
      <c r="B43" s="33"/>
      <c r="C43" s="35"/>
      <c r="D43" s="18">
        <f t="shared" si="0"/>
        <v>0</v>
      </c>
      <c r="E43" s="3">
        <f t="shared" si="1"/>
        <v>0</v>
      </c>
      <c r="F43" s="34"/>
      <c r="H43" s="23">
        <f t="shared" si="2"/>
        <v>35.5</v>
      </c>
      <c r="I43" s="23">
        <f t="shared" si="3"/>
        <v>35.5</v>
      </c>
      <c r="J43" s="23">
        <f t="shared" si="4"/>
        <v>0</v>
      </c>
      <c r="K43" s="23">
        <f t="shared" si="5"/>
        <v>0</v>
      </c>
      <c r="L43" s="23">
        <f t="shared" si="6"/>
        <v>0</v>
      </c>
      <c r="M43" s="23"/>
      <c r="N43" s="23">
        <f t="shared" si="18"/>
        <v>35.5</v>
      </c>
      <c r="O43" s="23">
        <f t="shared" si="7"/>
        <v>35.5</v>
      </c>
      <c r="P43" s="23">
        <f t="shared" si="8"/>
        <v>35.5</v>
      </c>
      <c r="Q43" s="23">
        <f t="shared" si="9"/>
        <v>35.5</v>
      </c>
      <c r="R43" s="23">
        <f t="shared" si="10"/>
        <v>0</v>
      </c>
      <c r="S43" s="23">
        <f t="shared" si="11"/>
        <v>0</v>
      </c>
      <c r="T43" s="23">
        <f t="shared" si="12"/>
        <v>0</v>
      </c>
      <c r="U43" s="23">
        <f t="shared" si="13"/>
        <v>35.5</v>
      </c>
      <c r="V43" s="23">
        <f t="shared" si="14"/>
        <v>35.5</v>
      </c>
      <c r="W43" s="23">
        <f t="shared" si="15"/>
        <v>0</v>
      </c>
      <c r="X43" s="23">
        <f t="shared" si="16"/>
        <v>0</v>
      </c>
      <c r="Y43" s="23">
        <f t="shared" si="17"/>
        <v>0</v>
      </c>
      <c r="Z43" s="26"/>
      <c r="AA43" s="30" cm="1">
        <f t="array" ref="AA43">IF(SUM(((($AC$8:$AC$56)&gt;$N43)*1)*((($AC$8:$AC$56)&lt;$O43)*1))&gt;0,SUM((_xlfn.VSTACK((_xlfn._xlws.FILTER(((($AC$8:$AC$56)&gt;$N43)*1)*((($AC$8:$AC$56)&lt;$O43)*1)*($AC$8:$AC$56),((($AC$8:$AC$56)&gt;$N43)*1)*((($AC$8:$AC$56)&lt;$O43)*1)*($AC$8:$AC$56)&gt;0)),$O43)-_xlfn.VSTACK($N43,(_xlfn._xlws.FILTER(((($AC$8:$AC$56)&gt;$N43)*1)*((($AC$8:$AC$56)&lt;$O43)*1)*($AC$8:$AC$56),((($AC$8:$AC$56)&gt;$N43)*1)*((($AC$8:$AC$56)&lt;$O43)*1)*($AC$8:$AC$56)&gt;0))))*((_xlfn.VSTACK($T43,(_xlfn._xlws.FILTER(((($AC$8:$AC$56)&gt;$N43)*1)*((($AC$8:$AC$56)&lt;$O43)*1)*($AD$8:$AD$56),((($AC$8:$AC$56)&gt;$N43)*1)*((($AC$8:$AC$56)&lt;$O43)))))+_xlfn.VSTACK((_xlfn._xlws.FILTER(((($AC$8:$AC$56)&gt;$N43)*1)*((($AC$8:$AC$56)&lt;$O43)*1)*($AD$8:$AD$56),((($AC$8:$AC$56)&gt;$N43)*1)*((($AC$8:$AC$56)&lt;$O43)))),$Y43))/2)),($O43-$N43)*($T43+$Y43)/2)</f>
        <v>0</v>
      </c>
      <c r="AB43" s="27"/>
      <c r="AC43" s="50">
        <f>IF($B$4="Original WL",'Original Cross Section - 1st WL'!A43,'Updated Cross Section - New WL'!A44)</f>
        <v>35.5</v>
      </c>
      <c r="AD43" s="3">
        <f>IF($B$4="Original WL",'Original Cross Section - 1st WL'!C43,'Updated Cross Section - New WL'!C44)</f>
        <v>0</v>
      </c>
    </row>
    <row r="44" spans="1:30" x14ac:dyDescent="0.25">
      <c r="A44" s="32"/>
      <c r="B44" s="33"/>
      <c r="C44" s="35"/>
      <c r="D44" s="18">
        <f t="shared" si="0"/>
        <v>0</v>
      </c>
      <c r="E44" s="3">
        <f t="shared" si="1"/>
        <v>0</v>
      </c>
      <c r="F44" s="34"/>
      <c r="H44" s="23">
        <f t="shared" si="2"/>
        <v>35.5</v>
      </c>
      <c r="I44" s="23">
        <f t="shared" si="3"/>
        <v>35.5</v>
      </c>
      <c r="J44" s="23">
        <f t="shared" si="4"/>
        <v>0</v>
      </c>
      <c r="K44" s="23">
        <f t="shared" si="5"/>
        <v>0</v>
      </c>
      <c r="L44" s="23">
        <f t="shared" si="6"/>
        <v>0</v>
      </c>
      <c r="M44" s="23"/>
      <c r="N44" s="23">
        <f t="shared" si="18"/>
        <v>35.5</v>
      </c>
      <c r="O44" s="23">
        <f t="shared" si="7"/>
        <v>35.5</v>
      </c>
      <c r="P44" s="23">
        <f t="shared" si="8"/>
        <v>35.5</v>
      </c>
      <c r="Q44" s="23">
        <f t="shared" si="9"/>
        <v>35.5</v>
      </c>
      <c r="R44" s="23">
        <f t="shared" si="10"/>
        <v>0</v>
      </c>
      <c r="S44" s="23">
        <f t="shared" si="11"/>
        <v>0</v>
      </c>
      <c r="T44" s="23">
        <f t="shared" si="12"/>
        <v>0</v>
      </c>
      <c r="U44" s="23">
        <f t="shared" si="13"/>
        <v>35.5</v>
      </c>
      <c r="V44" s="23">
        <f t="shared" si="14"/>
        <v>35.5</v>
      </c>
      <c r="W44" s="23">
        <f t="shared" si="15"/>
        <v>0</v>
      </c>
      <c r="X44" s="23">
        <f t="shared" si="16"/>
        <v>0</v>
      </c>
      <c r="Y44" s="23">
        <f t="shared" si="17"/>
        <v>0</v>
      </c>
      <c r="Z44" s="26"/>
      <c r="AA44" s="30" cm="1">
        <f t="array" ref="AA44">IF(SUM(((($AC$8:$AC$56)&gt;$N44)*1)*((($AC$8:$AC$56)&lt;$O44)*1))&gt;0,SUM((_xlfn.VSTACK((_xlfn._xlws.FILTER(((($AC$8:$AC$56)&gt;$N44)*1)*((($AC$8:$AC$56)&lt;$O44)*1)*($AC$8:$AC$56),((($AC$8:$AC$56)&gt;$N44)*1)*((($AC$8:$AC$56)&lt;$O44)*1)*($AC$8:$AC$56)&gt;0)),$O44)-_xlfn.VSTACK($N44,(_xlfn._xlws.FILTER(((($AC$8:$AC$56)&gt;$N44)*1)*((($AC$8:$AC$56)&lt;$O44)*1)*($AC$8:$AC$56),((($AC$8:$AC$56)&gt;$N44)*1)*((($AC$8:$AC$56)&lt;$O44)*1)*($AC$8:$AC$56)&gt;0))))*((_xlfn.VSTACK($T44,(_xlfn._xlws.FILTER(((($AC$8:$AC$56)&gt;$N44)*1)*((($AC$8:$AC$56)&lt;$O44)*1)*($AD$8:$AD$56),((($AC$8:$AC$56)&gt;$N44)*1)*((($AC$8:$AC$56)&lt;$O44)))))+_xlfn.VSTACK((_xlfn._xlws.FILTER(((($AC$8:$AC$56)&gt;$N44)*1)*((($AC$8:$AC$56)&lt;$O44)*1)*($AD$8:$AD$56),((($AC$8:$AC$56)&gt;$N44)*1)*((($AC$8:$AC$56)&lt;$O44)))),$Y44))/2)),($O44-$N44)*($T44+$Y44)/2)</f>
        <v>0</v>
      </c>
      <c r="AB44" s="27"/>
      <c r="AC44" s="50">
        <f>IF($B$4="Original WL",'Original Cross Section - 1st WL'!A44,'Updated Cross Section - New WL'!A45)</f>
        <v>35.5</v>
      </c>
      <c r="AD44" s="3">
        <f>IF($B$4="Original WL",'Original Cross Section - 1st WL'!C44,'Updated Cross Section - New WL'!C45)</f>
        <v>0</v>
      </c>
    </row>
    <row r="45" spans="1:30" x14ac:dyDescent="0.25">
      <c r="A45" s="32"/>
      <c r="B45" s="33"/>
      <c r="C45" s="35"/>
      <c r="D45" s="18">
        <f t="shared" si="0"/>
        <v>0</v>
      </c>
      <c r="E45" s="3">
        <f t="shared" si="1"/>
        <v>0</v>
      </c>
      <c r="F45" s="34"/>
      <c r="H45" s="23">
        <f t="shared" si="2"/>
        <v>35.5</v>
      </c>
      <c r="I45" s="23">
        <f t="shared" si="3"/>
        <v>35.5</v>
      </c>
      <c r="J45" s="23">
        <f t="shared" si="4"/>
        <v>0</v>
      </c>
      <c r="K45" s="23">
        <f t="shared" si="5"/>
        <v>0</v>
      </c>
      <c r="L45" s="23">
        <f t="shared" si="6"/>
        <v>0</v>
      </c>
      <c r="M45" s="23"/>
      <c r="N45" s="23">
        <f t="shared" si="18"/>
        <v>35.5</v>
      </c>
      <c r="O45" s="23">
        <f t="shared" si="7"/>
        <v>35.5</v>
      </c>
      <c r="P45" s="23">
        <f t="shared" si="8"/>
        <v>35.5</v>
      </c>
      <c r="Q45" s="23">
        <f t="shared" si="9"/>
        <v>35.5</v>
      </c>
      <c r="R45" s="23">
        <f t="shared" si="10"/>
        <v>0</v>
      </c>
      <c r="S45" s="23">
        <f t="shared" si="11"/>
        <v>0</v>
      </c>
      <c r="T45" s="23">
        <f t="shared" si="12"/>
        <v>0</v>
      </c>
      <c r="U45" s="23">
        <f t="shared" si="13"/>
        <v>35.5</v>
      </c>
      <c r="V45" s="23">
        <f t="shared" si="14"/>
        <v>35.5</v>
      </c>
      <c r="W45" s="23">
        <f t="shared" si="15"/>
        <v>0</v>
      </c>
      <c r="X45" s="23">
        <f t="shared" si="16"/>
        <v>0</v>
      </c>
      <c r="Y45" s="23">
        <f t="shared" si="17"/>
        <v>0</v>
      </c>
      <c r="Z45" s="26"/>
      <c r="AA45" s="30" cm="1">
        <f t="array" ref="AA45">IF(SUM(((($AC$8:$AC$56)&gt;$N45)*1)*((($AC$8:$AC$56)&lt;$O45)*1))&gt;0,SUM((_xlfn.VSTACK((_xlfn._xlws.FILTER(((($AC$8:$AC$56)&gt;$N45)*1)*((($AC$8:$AC$56)&lt;$O45)*1)*($AC$8:$AC$56),((($AC$8:$AC$56)&gt;$N45)*1)*((($AC$8:$AC$56)&lt;$O45)*1)*($AC$8:$AC$56)&gt;0)),$O45)-_xlfn.VSTACK($N45,(_xlfn._xlws.FILTER(((($AC$8:$AC$56)&gt;$N45)*1)*((($AC$8:$AC$56)&lt;$O45)*1)*($AC$8:$AC$56),((($AC$8:$AC$56)&gt;$N45)*1)*((($AC$8:$AC$56)&lt;$O45)*1)*($AC$8:$AC$56)&gt;0))))*((_xlfn.VSTACK($T45,(_xlfn._xlws.FILTER(((($AC$8:$AC$56)&gt;$N45)*1)*((($AC$8:$AC$56)&lt;$O45)*1)*($AD$8:$AD$56),((($AC$8:$AC$56)&gt;$N45)*1)*((($AC$8:$AC$56)&lt;$O45)))))+_xlfn.VSTACK((_xlfn._xlws.FILTER(((($AC$8:$AC$56)&gt;$N45)*1)*((($AC$8:$AC$56)&lt;$O45)*1)*($AD$8:$AD$56),((($AC$8:$AC$56)&gt;$N45)*1)*((($AC$8:$AC$56)&lt;$O45)))),$Y45))/2)),($O45-$N45)*($T45+$Y45)/2)</f>
        <v>0</v>
      </c>
      <c r="AB45" s="27"/>
      <c r="AC45" s="50">
        <f>IF($B$4="Original WL",'Original Cross Section - 1st WL'!A45,'Updated Cross Section - New WL'!A46)</f>
        <v>35.5</v>
      </c>
      <c r="AD45" s="3">
        <f>IF($B$4="Original WL",'Original Cross Section - 1st WL'!C45,'Updated Cross Section - New WL'!C46)</f>
        <v>0</v>
      </c>
    </row>
    <row r="46" spans="1:30" x14ac:dyDescent="0.25">
      <c r="A46" s="32"/>
      <c r="B46" s="33"/>
      <c r="C46" s="35"/>
      <c r="D46" s="18">
        <f t="shared" si="0"/>
        <v>0</v>
      </c>
      <c r="E46" s="3">
        <f t="shared" si="1"/>
        <v>0</v>
      </c>
      <c r="F46" s="34"/>
      <c r="H46" s="23">
        <f t="shared" si="2"/>
        <v>35.5</v>
      </c>
      <c r="I46" s="23">
        <f t="shared" si="3"/>
        <v>35.5</v>
      </c>
      <c r="J46" s="23">
        <f t="shared" si="4"/>
        <v>0</v>
      </c>
      <c r="K46" s="23">
        <f t="shared" si="5"/>
        <v>0</v>
      </c>
      <c r="L46" s="23">
        <f t="shared" si="6"/>
        <v>0</v>
      </c>
      <c r="M46" s="23"/>
      <c r="N46" s="23">
        <f t="shared" si="18"/>
        <v>35.5</v>
      </c>
      <c r="O46" s="23">
        <f t="shared" si="7"/>
        <v>35.5</v>
      </c>
      <c r="P46" s="23">
        <f t="shared" si="8"/>
        <v>35.5</v>
      </c>
      <c r="Q46" s="23">
        <f t="shared" si="9"/>
        <v>35.5</v>
      </c>
      <c r="R46" s="23">
        <f t="shared" si="10"/>
        <v>0</v>
      </c>
      <c r="S46" s="23">
        <f t="shared" si="11"/>
        <v>0</v>
      </c>
      <c r="T46" s="23">
        <f t="shared" si="12"/>
        <v>0</v>
      </c>
      <c r="U46" s="23">
        <f t="shared" si="13"/>
        <v>35.5</v>
      </c>
      <c r="V46" s="23">
        <f t="shared" si="14"/>
        <v>35.5</v>
      </c>
      <c r="W46" s="23">
        <f t="shared" si="15"/>
        <v>0</v>
      </c>
      <c r="X46" s="23">
        <f t="shared" si="16"/>
        <v>0</v>
      </c>
      <c r="Y46" s="23">
        <f t="shared" si="17"/>
        <v>0</v>
      </c>
      <c r="Z46" s="26"/>
      <c r="AA46" s="30" cm="1">
        <f t="array" ref="AA46">IF(SUM(((($AC$8:$AC$56)&gt;$N46)*1)*((($AC$8:$AC$56)&lt;$O46)*1))&gt;0,SUM((_xlfn.VSTACK((_xlfn._xlws.FILTER(((($AC$8:$AC$56)&gt;$N46)*1)*((($AC$8:$AC$56)&lt;$O46)*1)*($AC$8:$AC$56),((($AC$8:$AC$56)&gt;$N46)*1)*((($AC$8:$AC$56)&lt;$O46)*1)*($AC$8:$AC$56)&gt;0)),$O46)-_xlfn.VSTACK($N46,(_xlfn._xlws.FILTER(((($AC$8:$AC$56)&gt;$N46)*1)*((($AC$8:$AC$56)&lt;$O46)*1)*($AC$8:$AC$56),((($AC$8:$AC$56)&gt;$N46)*1)*((($AC$8:$AC$56)&lt;$O46)*1)*($AC$8:$AC$56)&gt;0))))*((_xlfn.VSTACK($T46,(_xlfn._xlws.FILTER(((($AC$8:$AC$56)&gt;$N46)*1)*((($AC$8:$AC$56)&lt;$O46)*1)*($AD$8:$AD$56),((($AC$8:$AC$56)&gt;$N46)*1)*((($AC$8:$AC$56)&lt;$O46)))))+_xlfn.VSTACK((_xlfn._xlws.FILTER(((($AC$8:$AC$56)&gt;$N46)*1)*((($AC$8:$AC$56)&lt;$O46)*1)*($AD$8:$AD$56),((($AC$8:$AC$56)&gt;$N46)*1)*((($AC$8:$AC$56)&lt;$O46)))),$Y46))/2)),($O46-$N46)*($T46+$Y46)/2)</f>
        <v>0</v>
      </c>
      <c r="AB46" s="27"/>
      <c r="AC46" s="50">
        <f>IF($B$4="Original WL",'Original Cross Section - 1st WL'!A46,'Updated Cross Section - New WL'!A47)</f>
        <v>35.5</v>
      </c>
      <c r="AD46" s="3">
        <f>IF($B$4="Original WL",'Original Cross Section - 1st WL'!C46,'Updated Cross Section - New WL'!C47)</f>
        <v>0</v>
      </c>
    </row>
    <row r="47" spans="1:30" x14ac:dyDescent="0.25">
      <c r="A47" s="32"/>
      <c r="B47" s="33"/>
      <c r="C47" s="35"/>
      <c r="D47" s="18">
        <f t="shared" si="0"/>
        <v>0</v>
      </c>
      <c r="E47" s="3">
        <f t="shared" si="1"/>
        <v>0</v>
      </c>
      <c r="F47" s="34"/>
      <c r="H47" s="23">
        <f t="shared" si="2"/>
        <v>35.5</v>
      </c>
      <c r="I47" s="23">
        <f t="shared" si="3"/>
        <v>35.5</v>
      </c>
      <c r="J47" s="23">
        <f t="shared" si="4"/>
        <v>0</v>
      </c>
      <c r="K47" s="23">
        <f t="shared" si="5"/>
        <v>0</v>
      </c>
      <c r="L47" s="23">
        <f t="shared" si="6"/>
        <v>0</v>
      </c>
      <c r="M47" s="23"/>
      <c r="N47" s="23">
        <f t="shared" si="18"/>
        <v>35.5</v>
      </c>
      <c r="O47" s="23">
        <f>$AC$56</f>
        <v>35.5</v>
      </c>
      <c r="P47" s="23">
        <f t="shared" si="8"/>
        <v>35.5</v>
      </c>
      <c r="Q47" s="23">
        <f t="shared" si="9"/>
        <v>35.5</v>
      </c>
      <c r="R47" s="23">
        <f t="shared" si="10"/>
        <v>0</v>
      </c>
      <c r="S47" s="23">
        <f t="shared" si="11"/>
        <v>0</v>
      </c>
      <c r="T47" s="23">
        <f t="shared" si="12"/>
        <v>0</v>
      </c>
      <c r="U47" s="23">
        <f t="shared" si="13"/>
        <v>35.5</v>
      </c>
      <c r="V47" s="23">
        <f t="shared" si="14"/>
        <v>35.5</v>
      </c>
      <c r="W47" s="23">
        <f t="shared" si="15"/>
        <v>0</v>
      </c>
      <c r="X47" s="23">
        <f t="shared" si="16"/>
        <v>0</v>
      </c>
      <c r="Y47" s="23">
        <f t="shared" si="17"/>
        <v>0</v>
      </c>
      <c r="Z47" s="26"/>
      <c r="AA47" s="30" cm="1">
        <f t="array" ref="AA47">IF(SUM(((($AC$8:$AC$56)&gt;$N47)*1)*((($AC$8:$AC$56)&lt;$O47)*1))&gt;0,SUM((_xlfn.VSTACK((_xlfn._xlws.FILTER(((($AC$8:$AC$56)&gt;$N47)*1)*((($AC$8:$AC$56)&lt;$O47)*1)*($AC$8:$AC$56),((($AC$8:$AC$56)&gt;$N47)*1)*((($AC$8:$AC$56)&lt;$O47)*1)*($AC$8:$AC$56)&gt;0)),$O47)-_xlfn.VSTACK($N47,(_xlfn._xlws.FILTER(((($AC$8:$AC$56)&gt;$N47)*1)*((($AC$8:$AC$56)&lt;$O47)*1)*($AC$8:$AC$56),((($AC$8:$AC$56)&gt;$N47)*1)*((($AC$8:$AC$56)&lt;$O47)*1)*($AC$8:$AC$56)&gt;0))))*((_xlfn.VSTACK($T47,(_xlfn._xlws.FILTER(((($AC$8:$AC$56)&gt;$N47)*1)*((($AC$8:$AC$56)&lt;$O47)*1)*($AD$8:$AD$56),((($AC$8:$AC$56)&gt;$N47)*1)*((($AC$8:$AC$56)&lt;$O47)))))+_xlfn.VSTACK((_xlfn._xlws.FILTER(((($AC$8:$AC$56)&gt;$N47)*1)*((($AC$8:$AC$56)&lt;$O47)*1)*($AD$8:$AD$56),((($AC$8:$AC$56)&gt;$N47)*1)*((($AC$8:$AC$56)&lt;$O47)))),$Y47))/2)),($O47-$N47)*($T47+$Y47)/2)</f>
        <v>0</v>
      </c>
      <c r="AB47" s="27"/>
      <c r="AC47" s="50">
        <f>IF($B$4="Original WL",'Original Cross Section - 1st WL'!A47,'Updated Cross Section - New WL'!A48)</f>
        <v>35.5</v>
      </c>
      <c r="AD47" s="3">
        <f>IF($B$4="Original WL",'Original Cross Section - 1st WL'!C47,'Updated Cross Section - New WL'!C48)</f>
        <v>0</v>
      </c>
    </row>
    <row r="48" spans="1:30" ht="15.75" thickBot="1" x14ac:dyDescent="0.3">
      <c r="A48" s="4" t="s">
        <v>5</v>
      </c>
      <c r="B48" s="8" t="s">
        <v>5</v>
      </c>
      <c r="C48" s="19"/>
      <c r="D48" s="19"/>
      <c r="E48" s="5" t="s">
        <v>5</v>
      </c>
      <c r="F48" s="15"/>
      <c r="AC48" s="50">
        <f>IF($B$4="Original WL",'Original Cross Section - 1st WL'!A48,'Updated Cross Section - New WL'!A49)</f>
        <v>35.5</v>
      </c>
      <c r="AD48" s="3">
        <f>IF($B$4="Original WL",'Original Cross Section - 1st WL'!C48,'Updated Cross Section - New WL'!C49)</f>
        <v>0</v>
      </c>
    </row>
    <row r="49" spans="1:30" ht="15.75" thickBot="1" x14ac:dyDescent="0.3">
      <c r="AC49" s="50">
        <f>IF($B$4="Original WL",'Original Cross Section - 1st WL'!A49,'Updated Cross Section - New WL'!A50)</f>
        <v>35.5</v>
      </c>
      <c r="AD49" s="3">
        <f>IF($B$4="Original WL",'Original Cross Section - 1st WL'!C49,'Updated Cross Section - New WL'!C50)</f>
        <v>0</v>
      </c>
    </row>
    <row r="50" spans="1:30" ht="15.75" thickBot="1" x14ac:dyDescent="0.3">
      <c r="A50" s="20" t="s">
        <v>20</v>
      </c>
      <c r="B50" s="21">
        <f>SUM(E8:E47)</f>
        <v>92.10017059137499</v>
      </c>
      <c r="C50" s="6"/>
      <c r="AC50" s="50">
        <f>IF($B$4="Original WL",'Original Cross Section - 1st WL'!A50,'Updated Cross Section - New WL'!A51)</f>
        <v>35.5</v>
      </c>
      <c r="AD50" s="3">
        <f>IF($B$4="Original WL",'Original Cross Section - 1st WL'!C50,'Updated Cross Section - New WL'!C51)</f>
        <v>0</v>
      </c>
    </row>
    <row r="51" spans="1:30" ht="15.75" thickBot="1" x14ac:dyDescent="0.3">
      <c r="A51" s="6"/>
      <c r="B51" s="6"/>
      <c r="C51" s="6"/>
      <c r="AC51" s="50">
        <f>IF($B$4="Original WL",'Original Cross Section - 1st WL'!A51,'Updated Cross Section - New WL'!A52)</f>
        <v>35.5</v>
      </c>
      <c r="AD51" s="3">
        <f>IF($B$4="Original WL",'Original Cross Section - 1st WL'!C51,'Updated Cross Section - New WL'!C52)</f>
        <v>0</v>
      </c>
    </row>
    <row r="52" spans="1:30" ht="15.75" thickBot="1" x14ac:dyDescent="0.3">
      <c r="A52" s="20" t="s">
        <v>46</v>
      </c>
      <c r="B52" s="21">
        <f>SUM(D8:D47)</f>
        <v>42.791000000000011</v>
      </c>
      <c r="C52" s="6"/>
      <c r="AC52" s="50">
        <f>IF($B$4="Original WL",'Original Cross Section - 1st WL'!A52,'Updated Cross Section - New WL'!A53)</f>
        <v>35.5</v>
      </c>
      <c r="AD52" s="3">
        <f>IF($B$4="Original WL",'Original Cross Section - 1st WL'!C52,'Updated Cross Section - New WL'!C53)</f>
        <v>0</v>
      </c>
    </row>
    <row r="53" spans="1:30" x14ac:dyDescent="0.25">
      <c r="AC53" s="50">
        <f>IF($B$4="Original WL",'Original Cross Section - 1st WL'!A53,'Updated Cross Section - New WL'!A54)</f>
        <v>35.5</v>
      </c>
      <c r="AD53" s="3">
        <f>IF($B$4="Original WL",'Original Cross Section - 1st WL'!C53,'Updated Cross Section - New WL'!C54)</f>
        <v>0</v>
      </c>
    </row>
    <row r="54" spans="1:30" x14ac:dyDescent="0.25">
      <c r="A54" s="6" t="s">
        <v>25</v>
      </c>
      <c r="AC54" s="50">
        <f>IF($B$4="Original WL",'Original Cross Section - 1st WL'!A54,'Updated Cross Section - New WL'!A55)</f>
        <v>35.5</v>
      </c>
      <c r="AD54" s="3">
        <f>IF($B$4="Original WL",'Original Cross Section - 1st WL'!C54,'Updated Cross Section - New WL'!C55)</f>
        <v>0</v>
      </c>
    </row>
    <row r="55" spans="1:30" x14ac:dyDescent="0.25">
      <c r="A55" t="s">
        <v>62</v>
      </c>
      <c r="AC55" s="50">
        <f>IF($B$4="Original WL",'Original Cross Section - 1st WL'!A55,'Updated Cross Section - New WL'!A56)</f>
        <v>35.5</v>
      </c>
      <c r="AD55" s="3">
        <f>IF($B$4="Original WL",'Original Cross Section - 1st WL'!C55,'Updated Cross Section - New WL'!C56)</f>
        <v>0</v>
      </c>
    </row>
    <row r="56" spans="1:30" x14ac:dyDescent="0.25">
      <c r="A56" t="s">
        <v>63</v>
      </c>
      <c r="AC56" s="50">
        <f>IF($B$4="Original WL",'Original Cross Section - 1st WL'!A56,'Updated Cross Section - New WL'!A57)</f>
        <v>35.5</v>
      </c>
      <c r="AD56" s="3">
        <f>IF($B$4="Original WL",'Original Cross Section - 1st WL'!C56,'Updated Cross Section - New WL'!C57)</f>
        <v>0</v>
      </c>
    </row>
    <row r="57" spans="1:30" ht="15.75" thickBot="1" x14ac:dyDescent="0.3">
      <c r="A57" t="s">
        <v>77</v>
      </c>
      <c r="AC57" s="4" t="str">
        <f>IF($B$4="Original WL",'Original Cross Section - 1st WL'!A57,'Updated Cross Section - New WL'!A58)</f>
        <v>TRUE RIGHT BANK</v>
      </c>
      <c r="AD57" s="5" t="str">
        <f>IF($B$4="Original WL",'Original Cross Section - 1st WL'!C57,'Updated Cross Section - New WL'!C58)</f>
        <v>TRUE RIGHT BANK</v>
      </c>
    </row>
    <row r="58" spans="1:30" x14ac:dyDescent="0.25">
      <c r="A58" t="s">
        <v>78</v>
      </c>
    </row>
    <row r="59" spans="1:30" x14ac:dyDescent="0.25">
      <c r="A59" t="s">
        <v>23</v>
      </c>
    </row>
    <row r="60" spans="1:30" x14ac:dyDescent="0.25">
      <c r="A60" t="s">
        <v>24</v>
      </c>
    </row>
    <row r="61" spans="1:30" x14ac:dyDescent="0.25">
      <c r="A61" t="s">
        <v>26</v>
      </c>
    </row>
    <row r="62" spans="1:30" x14ac:dyDescent="0.25">
      <c r="A62" t="s">
        <v>47</v>
      </c>
    </row>
    <row r="63" spans="1:30" x14ac:dyDescent="0.25">
      <c r="A63" t="s">
        <v>27</v>
      </c>
    </row>
    <row r="64" spans="1:30" x14ac:dyDescent="0.25">
      <c r="A64" t="s">
        <v>28</v>
      </c>
    </row>
    <row r="65" spans="1:1" x14ac:dyDescent="0.25">
      <c r="A65" t="s">
        <v>48</v>
      </c>
    </row>
    <row r="66" spans="1:1" x14ac:dyDescent="0.25">
      <c r="A66" t="s">
        <v>64</v>
      </c>
    </row>
    <row r="67" spans="1:1" x14ac:dyDescent="0.25">
      <c r="A67" t="s">
        <v>79</v>
      </c>
    </row>
  </sheetData>
  <sheetProtection algorithmName="SHA-512" hashValue="z0jD2YPyUZpgnMCd55oU9Gv6OFB0zzJWa5f9RL7m26E5rL7BqqVnlOr2NS0GCG7vtujWgxpnjstK+fcJY44HTg==" saltValue="p+a2T7ptaGPTp471JiR3Pg==" spinCount="100000" sheet="1" objects="1" scenarios="1"/>
  <phoneticPr fontId="4"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98121-BB72-4E4C-9E3B-B48B5D7B5B57}">
  <dimension ref="A1:AD68"/>
  <sheetViews>
    <sheetView topLeftCell="A64" zoomScaleNormal="100" workbookViewId="0">
      <selection activeCell="F13" sqref="F13"/>
    </sheetView>
  </sheetViews>
  <sheetFormatPr defaultRowHeight="15" x14ac:dyDescent="0.25"/>
  <cols>
    <col min="1" max="1" width="49.5703125" customWidth="1"/>
    <col min="2" max="2" width="40.28515625" customWidth="1"/>
    <col min="3" max="3" width="53.7109375" customWidth="1"/>
    <col min="4" max="4" width="53.28515625" customWidth="1"/>
  </cols>
  <sheetData>
    <row r="1" spans="1:6" x14ac:dyDescent="0.25">
      <c r="A1" s="6" t="s">
        <v>49</v>
      </c>
    </row>
    <row r="2" spans="1:6" ht="15.75" thickBot="1" x14ac:dyDescent="0.3"/>
    <row r="3" spans="1:6" x14ac:dyDescent="0.25">
      <c r="A3" s="7" t="s">
        <v>0</v>
      </c>
      <c r="B3" s="7" t="s">
        <v>39</v>
      </c>
      <c r="C3" s="36" t="s">
        <v>4</v>
      </c>
    </row>
    <row r="4" spans="1:6" ht="30.75" thickBot="1" x14ac:dyDescent="0.3">
      <c r="A4" s="38" t="s">
        <v>56</v>
      </c>
      <c r="B4" s="37">
        <v>1.68</v>
      </c>
      <c r="C4" s="38" t="s">
        <v>35</v>
      </c>
    </row>
    <row r="5" spans="1:6" ht="15.75" thickBot="1" x14ac:dyDescent="0.3"/>
    <row r="6" spans="1:6" ht="30.75" thickBot="1" x14ac:dyDescent="0.3">
      <c r="A6" s="9" t="s">
        <v>1</v>
      </c>
      <c r="B6" s="59" t="s">
        <v>50</v>
      </c>
      <c r="C6" s="11" t="s">
        <v>3</v>
      </c>
      <c r="D6" s="13" t="s">
        <v>4</v>
      </c>
      <c r="F6" s="62"/>
    </row>
    <row r="7" spans="1:6" x14ac:dyDescent="0.25">
      <c r="A7" s="1" t="s">
        <v>2</v>
      </c>
      <c r="B7" s="12" t="s">
        <v>2</v>
      </c>
      <c r="C7" s="2" t="s">
        <v>2</v>
      </c>
      <c r="D7" s="14"/>
    </row>
    <row r="8" spans="1:6" x14ac:dyDescent="0.25">
      <c r="A8" s="32">
        <v>0</v>
      </c>
      <c r="B8" s="33">
        <v>2.4</v>
      </c>
      <c r="C8" s="3">
        <f>IF($B$4-B8&gt;0,$B$4-B8,0)</f>
        <v>0</v>
      </c>
      <c r="D8" s="58" t="s">
        <v>29</v>
      </c>
    </row>
    <row r="9" spans="1:6" x14ac:dyDescent="0.25">
      <c r="A9" s="32">
        <v>1</v>
      </c>
      <c r="B9" s="33">
        <v>1.88</v>
      </c>
      <c r="C9" s="3">
        <f t="shared" ref="C9:C56" si="0">IF($B$4-B9&gt;0,$B$4-B9,0)</f>
        <v>0</v>
      </c>
      <c r="D9" s="58"/>
    </row>
    <row r="10" spans="1:6" x14ac:dyDescent="0.25">
      <c r="A10" s="32">
        <v>2.2999999999999998</v>
      </c>
      <c r="B10" s="33">
        <v>1.68</v>
      </c>
      <c r="C10" s="3">
        <f t="shared" si="0"/>
        <v>0</v>
      </c>
      <c r="D10" s="58" t="s">
        <v>30</v>
      </c>
    </row>
    <row r="11" spans="1:6" x14ac:dyDescent="0.25">
      <c r="A11" s="32">
        <v>3.6</v>
      </c>
      <c r="B11" s="33">
        <v>1.27</v>
      </c>
      <c r="C11" s="3">
        <f t="shared" si="0"/>
        <v>0.40999999999999992</v>
      </c>
      <c r="D11" s="58" t="s">
        <v>45</v>
      </c>
    </row>
    <row r="12" spans="1:6" x14ac:dyDescent="0.25">
      <c r="A12" s="32">
        <v>4.9000000000000004</v>
      </c>
      <c r="B12" s="33">
        <v>1.1859999999999999</v>
      </c>
      <c r="C12" s="3">
        <f t="shared" si="0"/>
        <v>0.49399999999999999</v>
      </c>
      <c r="D12" s="58" t="s">
        <v>45</v>
      </c>
    </row>
    <row r="13" spans="1:6" x14ac:dyDescent="0.25">
      <c r="A13" s="32">
        <v>6.2</v>
      </c>
      <c r="B13" s="33">
        <v>1.0659999999999998</v>
      </c>
      <c r="C13" s="3">
        <f t="shared" si="0"/>
        <v>0.6140000000000001</v>
      </c>
      <c r="D13" s="58" t="s">
        <v>45</v>
      </c>
    </row>
    <row r="14" spans="1:6" x14ac:dyDescent="0.25">
      <c r="A14" s="32">
        <v>7.5</v>
      </c>
      <c r="B14" s="33">
        <v>1.0299999999999998</v>
      </c>
      <c r="C14" s="3">
        <f t="shared" si="0"/>
        <v>0.65000000000000013</v>
      </c>
      <c r="D14" s="58" t="s">
        <v>45</v>
      </c>
    </row>
    <row r="15" spans="1:6" x14ac:dyDescent="0.25">
      <c r="A15" s="32">
        <v>8.8000000000000007</v>
      </c>
      <c r="B15" s="33">
        <v>0.92599999999999993</v>
      </c>
      <c r="C15" s="3">
        <f t="shared" si="0"/>
        <v>0.754</v>
      </c>
      <c r="D15" s="58" t="s">
        <v>45</v>
      </c>
    </row>
    <row r="16" spans="1:6" x14ac:dyDescent="0.25">
      <c r="A16" s="32">
        <v>10.1</v>
      </c>
      <c r="B16" s="33">
        <v>0.91699999999999982</v>
      </c>
      <c r="C16" s="3">
        <f t="shared" si="0"/>
        <v>0.76300000000000012</v>
      </c>
      <c r="D16" s="58" t="s">
        <v>45</v>
      </c>
    </row>
    <row r="17" spans="1:4" x14ac:dyDescent="0.25">
      <c r="A17" s="32">
        <v>11.4</v>
      </c>
      <c r="B17" s="33">
        <v>0.68899999999999983</v>
      </c>
      <c r="C17" s="3">
        <f t="shared" si="0"/>
        <v>0.9910000000000001</v>
      </c>
      <c r="D17" s="58" t="s">
        <v>45</v>
      </c>
    </row>
    <row r="18" spans="1:4" x14ac:dyDescent="0.25">
      <c r="A18" s="32">
        <v>12.7</v>
      </c>
      <c r="B18" s="33">
        <v>0.60499999999999998</v>
      </c>
      <c r="C18" s="3">
        <f t="shared" si="0"/>
        <v>1.075</v>
      </c>
      <c r="D18" s="58" t="s">
        <v>45</v>
      </c>
    </row>
    <row r="19" spans="1:4" x14ac:dyDescent="0.25">
      <c r="A19" s="32">
        <v>14</v>
      </c>
      <c r="B19" s="33">
        <v>0.53099999999999992</v>
      </c>
      <c r="C19" s="3">
        <f t="shared" si="0"/>
        <v>1.149</v>
      </c>
      <c r="D19" s="58" t="s">
        <v>45</v>
      </c>
    </row>
    <row r="20" spans="1:4" x14ac:dyDescent="0.25">
      <c r="A20" s="32">
        <v>15.3</v>
      </c>
      <c r="B20" s="33">
        <v>0.44899999999999984</v>
      </c>
      <c r="C20" s="3">
        <f t="shared" si="0"/>
        <v>1.2310000000000001</v>
      </c>
      <c r="D20" s="58" t="s">
        <v>45</v>
      </c>
    </row>
    <row r="21" spans="1:4" x14ac:dyDescent="0.25">
      <c r="A21" s="32">
        <v>16.600000000000001</v>
      </c>
      <c r="B21" s="33">
        <v>0.39500000000000002</v>
      </c>
      <c r="C21" s="3">
        <f t="shared" si="0"/>
        <v>1.2849999999999999</v>
      </c>
      <c r="D21" s="58" t="s">
        <v>45</v>
      </c>
    </row>
    <row r="22" spans="1:4" x14ac:dyDescent="0.25">
      <c r="A22" s="32">
        <v>17.899999999999999</v>
      </c>
      <c r="B22" s="33">
        <v>0.41099999999999981</v>
      </c>
      <c r="C22" s="3">
        <f t="shared" si="0"/>
        <v>1.2690000000000001</v>
      </c>
      <c r="D22" s="58" t="s">
        <v>45</v>
      </c>
    </row>
    <row r="23" spans="1:4" x14ac:dyDescent="0.25">
      <c r="A23" s="32">
        <v>19.2</v>
      </c>
      <c r="B23" s="33">
        <v>0.47499999999999987</v>
      </c>
      <c r="C23" s="3">
        <f t="shared" si="0"/>
        <v>1.2050000000000001</v>
      </c>
      <c r="D23" s="58" t="s">
        <v>45</v>
      </c>
    </row>
    <row r="24" spans="1:4" x14ac:dyDescent="0.25">
      <c r="A24" s="32">
        <v>20.5</v>
      </c>
      <c r="B24" s="33">
        <v>0.49</v>
      </c>
      <c r="C24" s="3">
        <f t="shared" si="0"/>
        <v>1.19</v>
      </c>
      <c r="D24" s="58" t="s">
        <v>45</v>
      </c>
    </row>
    <row r="25" spans="1:4" x14ac:dyDescent="0.25">
      <c r="A25" s="32">
        <v>21.8</v>
      </c>
      <c r="B25" s="33">
        <v>0.47499999999999987</v>
      </c>
      <c r="C25" s="3">
        <f t="shared" si="0"/>
        <v>1.2050000000000001</v>
      </c>
      <c r="D25" s="58" t="s">
        <v>45</v>
      </c>
    </row>
    <row r="26" spans="1:4" x14ac:dyDescent="0.25">
      <c r="A26" s="32">
        <v>23.1</v>
      </c>
      <c r="B26" s="33">
        <v>0.50499999999999989</v>
      </c>
      <c r="C26" s="3">
        <f t="shared" si="0"/>
        <v>1.175</v>
      </c>
      <c r="D26" s="58" t="s">
        <v>45</v>
      </c>
    </row>
    <row r="27" spans="1:4" x14ac:dyDescent="0.25">
      <c r="A27" s="32">
        <v>24.4</v>
      </c>
      <c r="B27" s="33">
        <v>0.51400000000000001</v>
      </c>
      <c r="C27" s="3">
        <f t="shared" si="0"/>
        <v>1.1659999999999999</v>
      </c>
      <c r="D27" s="58" t="s">
        <v>45</v>
      </c>
    </row>
    <row r="28" spans="1:4" x14ac:dyDescent="0.25">
      <c r="A28" s="32">
        <v>25.7</v>
      </c>
      <c r="B28" s="33">
        <v>0.62399999999999989</v>
      </c>
      <c r="C28" s="3">
        <f t="shared" si="0"/>
        <v>1.056</v>
      </c>
      <c r="D28" s="58" t="s">
        <v>45</v>
      </c>
    </row>
    <row r="29" spans="1:4" x14ac:dyDescent="0.25">
      <c r="A29" s="32">
        <v>27</v>
      </c>
      <c r="B29" s="33">
        <v>0.70199999999999996</v>
      </c>
      <c r="C29" s="3">
        <f t="shared" si="0"/>
        <v>0.97799999999999998</v>
      </c>
      <c r="D29" s="58" t="s">
        <v>45</v>
      </c>
    </row>
    <row r="30" spans="1:4" x14ac:dyDescent="0.25">
      <c r="A30" s="32">
        <v>28.3</v>
      </c>
      <c r="B30" s="33">
        <v>0.746</v>
      </c>
      <c r="C30" s="3">
        <f t="shared" si="0"/>
        <v>0.93399999999999994</v>
      </c>
      <c r="D30" s="58" t="s">
        <v>45</v>
      </c>
    </row>
    <row r="31" spans="1:4" x14ac:dyDescent="0.25">
      <c r="A31" s="32">
        <v>29.6</v>
      </c>
      <c r="B31" s="33">
        <v>0.80899999999999994</v>
      </c>
      <c r="C31" s="3">
        <f t="shared" si="0"/>
        <v>0.871</v>
      </c>
      <c r="D31" s="58" t="s">
        <v>45</v>
      </c>
    </row>
    <row r="32" spans="1:4" x14ac:dyDescent="0.25">
      <c r="A32" s="32">
        <v>30.9</v>
      </c>
      <c r="B32" s="33">
        <v>0.73099999999999987</v>
      </c>
      <c r="C32" s="3">
        <f t="shared" si="0"/>
        <v>0.94900000000000007</v>
      </c>
      <c r="D32" s="58" t="s">
        <v>45</v>
      </c>
    </row>
    <row r="33" spans="1:4" x14ac:dyDescent="0.25">
      <c r="A33" s="32">
        <v>32.200000000000003</v>
      </c>
      <c r="B33" s="33">
        <v>0.82399999999999984</v>
      </c>
      <c r="C33" s="3">
        <f t="shared" si="0"/>
        <v>0.85600000000000009</v>
      </c>
      <c r="D33" s="58" t="s">
        <v>45</v>
      </c>
    </row>
    <row r="34" spans="1:4" x14ac:dyDescent="0.25">
      <c r="A34" s="32">
        <v>33.5</v>
      </c>
      <c r="B34" s="33">
        <v>1.68</v>
      </c>
      <c r="C34" s="3">
        <f t="shared" si="0"/>
        <v>0</v>
      </c>
      <c r="D34" s="58" t="s">
        <v>31</v>
      </c>
    </row>
    <row r="35" spans="1:4" x14ac:dyDescent="0.25">
      <c r="A35" s="32">
        <v>34.5</v>
      </c>
      <c r="B35" s="33">
        <v>2.1</v>
      </c>
      <c r="C35" s="3">
        <f t="shared" si="0"/>
        <v>0</v>
      </c>
      <c r="D35" s="58"/>
    </row>
    <row r="36" spans="1:4" x14ac:dyDescent="0.25">
      <c r="A36" s="32">
        <v>35.5</v>
      </c>
      <c r="B36" s="33">
        <v>2.4</v>
      </c>
      <c r="C36" s="3">
        <f t="shared" si="0"/>
        <v>0</v>
      </c>
      <c r="D36" s="58" t="s">
        <v>53</v>
      </c>
    </row>
    <row r="37" spans="1:4" x14ac:dyDescent="0.25">
      <c r="A37" s="32">
        <v>35.5</v>
      </c>
      <c r="B37" s="33">
        <v>2.4</v>
      </c>
      <c r="C37" s="3">
        <f t="shared" si="0"/>
        <v>0</v>
      </c>
      <c r="D37" s="58" t="s">
        <v>22</v>
      </c>
    </row>
    <row r="38" spans="1:4" x14ac:dyDescent="0.25">
      <c r="A38" s="32">
        <v>35.5</v>
      </c>
      <c r="B38" s="33">
        <v>2.4</v>
      </c>
      <c r="C38" s="3">
        <f t="shared" si="0"/>
        <v>0</v>
      </c>
      <c r="D38" s="58" t="s">
        <v>22</v>
      </c>
    </row>
    <row r="39" spans="1:4" x14ac:dyDescent="0.25">
      <c r="A39" s="32">
        <v>35.5</v>
      </c>
      <c r="B39" s="33">
        <v>2.4</v>
      </c>
      <c r="C39" s="3">
        <f t="shared" si="0"/>
        <v>0</v>
      </c>
      <c r="D39" s="58" t="s">
        <v>22</v>
      </c>
    </row>
    <row r="40" spans="1:4" x14ac:dyDescent="0.25">
      <c r="A40" s="32">
        <v>35.5</v>
      </c>
      <c r="B40" s="33">
        <v>2.4</v>
      </c>
      <c r="C40" s="3">
        <f t="shared" si="0"/>
        <v>0</v>
      </c>
      <c r="D40" s="58" t="s">
        <v>22</v>
      </c>
    </row>
    <row r="41" spans="1:4" x14ac:dyDescent="0.25">
      <c r="A41" s="32">
        <v>35.5</v>
      </c>
      <c r="B41" s="33">
        <v>2.4</v>
      </c>
      <c r="C41" s="3">
        <f t="shared" si="0"/>
        <v>0</v>
      </c>
      <c r="D41" s="58" t="s">
        <v>22</v>
      </c>
    </row>
    <row r="42" spans="1:4" x14ac:dyDescent="0.25">
      <c r="A42" s="32">
        <v>35.5</v>
      </c>
      <c r="B42" s="33">
        <v>2.4</v>
      </c>
      <c r="C42" s="3">
        <f t="shared" si="0"/>
        <v>0</v>
      </c>
      <c r="D42" s="58" t="s">
        <v>22</v>
      </c>
    </row>
    <row r="43" spans="1:4" x14ac:dyDescent="0.25">
      <c r="A43" s="32">
        <v>35.5</v>
      </c>
      <c r="B43" s="33">
        <v>2.4</v>
      </c>
      <c r="C43" s="3">
        <f t="shared" si="0"/>
        <v>0</v>
      </c>
      <c r="D43" s="58" t="s">
        <v>22</v>
      </c>
    </row>
    <row r="44" spans="1:4" x14ac:dyDescent="0.25">
      <c r="A44" s="32">
        <v>35.5</v>
      </c>
      <c r="B44" s="33">
        <v>2.4</v>
      </c>
      <c r="C44" s="3">
        <f t="shared" si="0"/>
        <v>0</v>
      </c>
      <c r="D44" s="58" t="s">
        <v>22</v>
      </c>
    </row>
    <row r="45" spans="1:4" x14ac:dyDescent="0.25">
      <c r="A45" s="32">
        <v>35.5</v>
      </c>
      <c r="B45" s="33">
        <v>2.4</v>
      </c>
      <c r="C45" s="3">
        <f t="shared" si="0"/>
        <v>0</v>
      </c>
      <c r="D45" s="58" t="s">
        <v>22</v>
      </c>
    </row>
    <row r="46" spans="1:4" x14ac:dyDescent="0.25">
      <c r="A46" s="32">
        <v>35.5</v>
      </c>
      <c r="B46" s="33">
        <v>2.4</v>
      </c>
      <c r="C46" s="3">
        <f t="shared" si="0"/>
        <v>0</v>
      </c>
      <c r="D46" s="58" t="s">
        <v>22</v>
      </c>
    </row>
    <row r="47" spans="1:4" x14ac:dyDescent="0.25">
      <c r="A47" s="32">
        <v>35.5</v>
      </c>
      <c r="B47" s="33">
        <v>2.4</v>
      </c>
      <c r="C47" s="3">
        <f t="shared" si="0"/>
        <v>0</v>
      </c>
      <c r="D47" s="58" t="s">
        <v>22</v>
      </c>
    </row>
    <row r="48" spans="1:4" x14ac:dyDescent="0.25">
      <c r="A48" s="32">
        <v>35.5</v>
      </c>
      <c r="B48" s="33">
        <v>2.4</v>
      </c>
      <c r="C48" s="3">
        <f t="shared" si="0"/>
        <v>0</v>
      </c>
      <c r="D48" s="58" t="s">
        <v>22</v>
      </c>
    </row>
    <row r="49" spans="1:30" x14ac:dyDescent="0.25">
      <c r="A49" s="32">
        <v>35.5</v>
      </c>
      <c r="B49" s="33">
        <v>2.4</v>
      </c>
      <c r="C49" s="3">
        <f t="shared" si="0"/>
        <v>0</v>
      </c>
      <c r="D49" s="58" t="s">
        <v>22</v>
      </c>
    </row>
    <row r="50" spans="1:30" x14ac:dyDescent="0.25">
      <c r="A50" s="32">
        <v>35.5</v>
      </c>
      <c r="B50" s="33">
        <v>2.4</v>
      </c>
      <c r="C50" s="3">
        <f t="shared" si="0"/>
        <v>0</v>
      </c>
      <c r="D50" s="58" t="s">
        <v>22</v>
      </c>
    </row>
    <row r="51" spans="1:30" x14ac:dyDescent="0.25">
      <c r="A51" s="32">
        <v>35.5</v>
      </c>
      <c r="B51" s="33">
        <v>2.4</v>
      </c>
      <c r="C51" s="3">
        <f t="shared" si="0"/>
        <v>0</v>
      </c>
      <c r="D51" s="58" t="s">
        <v>22</v>
      </c>
    </row>
    <row r="52" spans="1:30" x14ac:dyDescent="0.25">
      <c r="A52" s="32">
        <v>35.5</v>
      </c>
      <c r="B52" s="33">
        <v>2.4</v>
      </c>
      <c r="C52" s="3">
        <f t="shared" si="0"/>
        <v>0</v>
      </c>
      <c r="D52" s="58" t="s">
        <v>22</v>
      </c>
    </row>
    <row r="53" spans="1:30" x14ac:dyDescent="0.25">
      <c r="A53" s="32">
        <v>35.5</v>
      </c>
      <c r="B53" s="33">
        <v>2.4</v>
      </c>
      <c r="C53" s="3">
        <f t="shared" si="0"/>
        <v>0</v>
      </c>
      <c r="D53" s="58" t="s">
        <v>22</v>
      </c>
    </row>
    <row r="54" spans="1:30" x14ac:dyDescent="0.25">
      <c r="A54" s="32">
        <v>35.5</v>
      </c>
      <c r="B54" s="33">
        <v>2.4</v>
      </c>
      <c r="C54" s="3">
        <f t="shared" si="0"/>
        <v>0</v>
      </c>
      <c r="D54" s="58" t="s">
        <v>22</v>
      </c>
    </row>
    <row r="55" spans="1:30" x14ac:dyDescent="0.25">
      <c r="A55" s="32">
        <v>35.5</v>
      </c>
      <c r="B55" s="33">
        <v>2.4</v>
      </c>
      <c r="C55" s="3">
        <f t="shared" si="0"/>
        <v>0</v>
      </c>
      <c r="D55" s="58" t="s">
        <v>22</v>
      </c>
    </row>
    <row r="56" spans="1:30" x14ac:dyDescent="0.25">
      <c r="A56" s="32">
        <v>35.5</v>
      </c>
      <c r="B56" s="33">
        <v>2.4</v>
      </c>
      <c r="C56" s="3">
        <f t="shared" si="0"/>
        <v>0</v>
      </c>
      <c r="D56" s="58" t="s">
        <v>22</v>
      </c>
    </row>
    <row r="57" spans="1:30" ht="15.75" thickBot="1" x14ac:dyDescent="0.3">
      <c r="A57" s="4" t="s">
        <v>5</v>
      </c>
      <c r="B57" s="8" t="s">
        <v>5</v>
      </c>
      <c r="C57" s="5" t="s">
        <v>5</v>
      </c>
      <c r="D57" s="15"/>
    </row>
    <row r="59" spans="1:30" x14ac:dyDescent="0.25">
      <c r="A59" s="6" t="s">
        <v>4</v>
      </c>
    </row>
    <row r="60" spans="1:30" x14ac:dyDescent="0.25">
      <c r="A60" t="s">
        <v>58</v>
      </c>
      <c r="AC60" s="50"/>
      <c r="AD60" s="3"/>
    </row>
    <row r="61" spans="1:30" x14ac:dyDescent="0.25">
      <c r="A61" t="s">
        <v>65</v>
      </c>
      <c r="AC61" s="50"/>
      <c r="AD61" s="3"/>
    </row>
    <row r="62" spans="1:30" x14ac:dyDescent="0.25">
      <c r="A62" t="s">
        <v>59</v>
      </c>
      <c r="AC62" s="50"/>
      <c r="AD62" s="3"/>
    </row>
    <row r="63" spans="1:30" x14ac:dyDescent="0.25">
      <c r="A63" t="s">
        <v>60</v>
      </c>
      <c r="AC63" s="50"/>
      <c r="AD63" s="3"/>
    </row>
    <row r="64" spans="1:30" x14ac:dyDescent="0.25">
      <c r="A64" t="s">
        <v>66</v>
      </c>
      <c r="AC64" s="50"/>
      <c r="AD64" s="3"/>
    </row>
    <row r="65" spans="1:30" x14ac:dyDescent="0.25">
      <c r="A65" t="s">
        <v>61</v>
      </c>
      <c r="AC65" s="50"/>
      <c r="AD65" s="3"/>
    </row>
    <row r="66" spans="1:30" x14ac:dyDescent="0.25">
      <c r="A66" t="s">
        <v>27</v>
      </c>
    </row>
    <row r="67" spans="1:30" x14ac:dyDescent="0.25">
      <c r="A67" t="s">
        <v>28</v>
      </c>
    </row>
    <row r="68" spans="1:30" x14ac:dyDescent="0.25">
      <c r="A68" t="s">
        <v>33</v>
      </c>
    </row>
  </sheetData>
  <sheetProtection algorithmName="SHA-512" hashValue="rbbqjrPL+gWbTU3O+PKz4HBK1epH1vbgdVwnV1oczDW6FI0dIfxjk9tLSY5aP0UXyvlqgy2jGPqISbcT1iJlWA==" saltValue="FKfEwmOgydVEYUmlv8gxiA==" spinCount="100000" sheet="1" objects="1" scenarios="1"/>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BD215-85B5-4AC5-9348-B4C8DA72F89E}">
  <dimension ref="A1:D64"/>
  <sheetViews>
    <sheetView tabSelected="1" workbookViewId="0">
      <selection activeCell="I10" sqref="I10"/>
    </sheetView>
  </sheetViews>
  <sheetFormatPr defaultColWidth="9.140625" defaultRowHeight="15" x14ac:dyDescent="0.25"/>
  <cols>
    <col min="1" max="1" width="49.5703125" customWidth="1"/>
    <col min="2" max="2" width="39.7109375" customWidth="1"/>
    <col min="3" max="3" width="56.28515625" customWidth="1"/>
    <col min="4" max="4" width="53.28515625" customWidth="1"/>
  </cols>
  <sheetData>
    <row r="1" spans="1:4" ht="15.75" thickBot="1" x14ac:dyDescent="0.3">
      <c r="A1" s="7" t="s">
        <v>0</v>
      </c>
      <c r="B1" s="41"/>
      <c r="C1" s="13" t="s">
        <v>4</v>
      </c>
    </row>
    <row r="2" spans="1:4" x14ac:dyDescent="0.25">
      <c r="A2" s="42" t="s">
        <v>37</v>
      </c>
      <c r="B2" s="40" t="s">
        <v>54</v>
      </c>
      <c r="C2" s="14" t="s">
        <v>40</v>
      </c>
    </row>
    <row r="3" spans="1:4" ht="30" x14ac:dyDescent="0.25">
      <c r="A3" s="60" t="s">
        <v>55</v>
      </c>
      <c r="B3" s="39">
        <v>2.1</v>
      </c>
      <c r="C3" s="44"/>
    </row>
    <row r="4" spans="1:4" ht="48" customHeight="1" x14ac:dyDescent="0.25">
      <c r="A4" s="43" t="s">
        <v>36</v>
      </c>
      <c r="B4" s="39"/>
      <c r="C4" s="44" t="s">
        <v>52</v>
      </c>
    </row>
    <row r="5" spans="1:4" ht="30.75" thickBot="1" x14ac:dyDescent="0.3">
      <c r="A5" s="45" t="s">
        <v>51</v>
      </c>
      <c r="B5" s="46">
        <f>IF($B$2="Option 1",B3,IF($B$2="Option 2",'Original Cross Section - 1st WL'!B4+$B$4,"Not a valid option"))</f>
        <v>2.1</v>
      </c>
      <c r="C5" s="47" t="s">
        <v>38</v>
      </c>
    </row>
    <row r="6" spans="1:4" ht="15.75" thickBot="1" x14ac:dyDescent="0.3"/>
    <row r="7" spans="1:4" ht="32.25" customHeight="1" thickBot="1" x14ac:dyDescent="0.3">
      <c r="A7" s="9" t="s">
        <v>1</v>
      </c>
      <c r="B7" s="59" t="s">
        <v>50</v>
      </c>
      <c r="C7" s="11" t="s">
        <v>3</v>
      </c>
      <c r="D7" s="13" t="s">
        <v>4</v>
      </c>
    </row>
    <row r="8" spans="1:4" x14ac:dyDescent="0.25">
      <c r="A8" s="1" t="s">
        <v>2</v>
      </c>
      <c r="B8" s="12" t="s">
        <v>2</v>
      </c>
      <c r="C8" s="2" t="s">
        <v>2</v>
      </c>
      <c r="D8" s="14"/>
    </row>
    <row r="9" spans="1:4" x14ac:dyDescent="0.25">
      <c r="A9" s="48">
        <f>'Original Cross Section - 1st WL'!A8</f>
        <v>0</v>
      </c>
      <c r="B9" s="49">
        <f>'Original Cross Section - 1st WL'!B8</f>
        <v>2.4</v>
      </c>
      <c r="C9" s="3">
        <f>IF(($B$5-$B9)&gt;0,($B$5-$B9),0)</f>
        <v>0</v>
      </c>
      <c r="D9" s="57" t="str">
        <f>'Original Cross Section - 1st WL'!D8</f>
        <v>First Measurement Is At Left Bank Reference Peg (y_PLB)</v>
      </c>
    </row>
    <row r="10" spans="1:4" x14ac:dyDescent="0.25">
      <c r="A10" s="50">
        <f>'Original Cross Section - 1st WL'!A9</f>
        <v>1</v>
      </c>
      <c r="B10" s="49">
        <f>'Original Cross Section - 1st WL'!B9</f>
        <v>1.88</v>
      </c>
      <c r="C10" s="3">
        <f t="shared" ref="C10:C57" si="0">IF(($B$5-$B10)&gt;0,($B$5-$B10),0)</f>
        <v>0.2200000000000002</v>
      </c>
      <c r="D10" s="57"/>
    </row>
    <row r="11" spans="1:4" x14ac:dyDescent="0.25">
      <c r="A11" s="50">
        <f>'Original Cross Section - 1st WL'!A10</f>
        <v>2.2999999999999998</v>
      </c>
      <c r="B11" s="49">
        <f>'Original Cross Section - 1st WL'!B10</f>
        <v>1.68</v>
      </c>
      <c r="C11" s="3">
        <f t="shared" si="0"/>
        <v>0.42000000000000015</v>
      </c>
      <c r="D11" s="57" t="str">
        <f>'Original Cross Section - 1st WL'!D10</f>
        <v>Original Cross Section Waters Edge LB</v>
      </c>
    </row>
    <row r="12" spans="1:4" x14ac:dyDescent="0.25">
      <c r="A12" s="50">
        <f>'Original Cross Section - 1st WL'!A11</f>
        <v>3.6</v>
      </c>
      <c r="B12" s="49">
        <f>'Original Cross Section - 1st WL'!B11</f>
        <v>1.27</v>
      </c>
      <c r="C12" s="3">
        <f t="shared" si="0"/>
        <v>0.83000000000000007</v>
      </c>
      <c r="D12" s="57" t="str">
        <f>'Original Cross Section - 1st WL'!D11</f>
        <v xml:space="preserve"> </v>
      </c>
    </row>
    <row r="13" spans="1:4" x14ac:dyDescent="0.25">
      <c r="A13" s="50">
        <f>'Original Cross Section - 1st WL'!A12</f>
        <v>4.9000000000000004</v>
      </c>
      <c r="B13" s="49">
        <f>'Original Cross Section - 1st WL'!B12</f>
        <v>1.1859999999999999</v>
      </c>
      <c r="C13" s="3">
        <f t="shared" si="0"/>
        <v>0.91400000000000015</v>
      </c>
      <c r="D13" s="57" t="str">
        <f>'Original Cross Section - 1st WL'!D12</f>
        <v xml:space="preserve"> </v>
      </c>
    </row>
    <row r="14" spans="1:4" x14ac:dyDescent="0.25">
      <c r="A14" s="50">
        <f>'Original Cross Section - 1st WL'!A13</f>
        <v>6.2</v>
      </c>
      <c r="B14" s="49">
        <f>'Original Cross Section - 1st WL'!B13</f>
        <v>1.0659999999999998</v>
      </c>
      <c r="C14" s="3">
        <f t="shared" si="0"/>
        <v>1.0340000000000003</v>
      </c>
      <c r="D14" s="57" t="str">
        <f>'Original Cross Section - 1st WL'!D13</f>
        <v xml:space="preserve"> </v>
      </c>
    </row>
    <row r="15" spans="1:4" x14ac:dyDescent="0.25">
      <c r="A15" s="50">
        <f>'Original Cross Section - 1st WL'!A14</f>
        <v>7.5</v>
      </c>
      <c r="B15" s="49">
        <f>'Original Cross Section - 1st WL'!B14</f>
        <v>1.0299999999999998</v>
      </c>
      <c r="C15" s="3">
        <f t="shared" si="0"/>
        <v>1.0700000000000003</v>
      </c>
      <c r="D15" s="57" t="str">
        <f>'Original Cross Section - 1st WL'!D14</f>
        <v xml:space="preserve"> </v>
      </c>
    </row>
    <row r="16" spans="1:4" x14ac:dyDescent="0.25">
      <c r="A16" s="50">
        <f>'Original Cross Section - 1st WL'!A15</f>
        <v>8.8000000000000007</v>
      </c>
      <c r="B16" s="49">
        <f>'Original Cross Section - 1st WL'!B15</f>
        <v>0.92599999999999993</v>
      </c>
      <c r="C16" s="3">
        <f t="shared" si="0"/>
        <v>1.1740000000000002</v>
      </c>
      <c r="D16" s="57" t="str">
        <f>'Original Cross Section - 1st WL'!D15</f>
        <v xml:space="preserve"> </v>
      </c>
    </row>
    <row r="17" spans="1:4" x14ac:dyDescent="0.25">
      <c r="A17" s="50">
        <f>'Original Cross Section - 1st WL'!A16</f>
        <v>10.1</v>
      </c>
      <c r="B17" s="49">
        <f>'Original Cross Section - 1st WL'!B16</f>
        <v>0.91699999999999982</v>
      </c>
      <c r="C17" s="3">
        <f t="shared" si="0"/>
        <v>1.1830000000000003</v>
      </c>
      <c r="D17" s="57" t="str">
        <f>'Original Cross Section - 1st WL'!D16</f>
        <v xml:space="preserve"> </v>
      </c>
    </row>
    <row r="18" spans="1:4" x14ac:dyDescent="0.25">
      <c r="A18" s="50">
        <f>'Original Cross Section - 1st WL'!A17</f>
        <v>11.4</v>
      </c>
      <c r="B18" s="49">
        <f>'Original Cross Section - 1st WL'!B17</f>
        <v>0.68899999999999983</v>
      </c>
      <c r="C18" s="3">
        <f t="shared" si="0"/>
        <v>1.4110000000000003</v>
      </c>
      <c r="D18" s="57" t="str">
        <f>'Original Cross Section - 1st WL'!D17</f>
        <v xml:space="preserve"> </v>
      </c>
    </row>
    <row r="19" spans="1:4" x14ac:dyDescent="0.25">
      <c r="A19" s="50">
        <f>'Original Cross Section - 1st WL'!A18</f>
        <v>12.7</v>
      </c>
      <c r="B19" s="49">
        <f>'Original Cross Section - 1st WL'!B18</f>
        <v>0.60499999999999998</v>
      </c>
      <c r="C19" s="3">
        <f t="shared" si="0"/>
        <v>1.4950000000000001</v>
      </c>
      <c r="D19" s="57" t="str">
        <f>'Original Cross Section - 1st WL'!D18</f>
        <v xml:space="preserve"> </v>
      </c>
    </row>
    <row r="20" spans="1:4" x14ac:dyDescent="0.25">
      <c r="A20" s="50">
        <f>'Original Cross Section - 1st WL'!A19</f>
        <v>14</v>
      </c>
      <c r="B20" s="49">
        <f>'Original Cross Section - 1st WL'!B19</f>
        <v>0.53099999999999992</v>
      </c>
      <c r="C20" s="3">
        <f t="shared" si="0"/>
        <v>1.5690000000000002</v>
      </c>
      <c r="D20" s="57" t="str">
        <f>'Original Cross Section - 1st WL'!D19</f>
        <v xml:space="preserve"> </v>
      </c>
    </row>
    <row r="21" spans="1:4" x14ac:dyDescent="0.25">
      <c r="A21" s="50">
        <f>'Original Cross Section - 1st WL'!A20</f>
        <v>15.3</v>
      </c>
      <c r="B21" s="49">
        <f>'Original Cross Section - 1st WL'!B20</f>
        <v>0.44899999999999984</v>
      </c>
      <c r="C21" s="3">
        <f t="shared" si="0"/>
        <v>1.6510000000000002</v>
      </c>
      <c r="D21" s="57" t="str">
        <f>'Original Cross Section - 1st WL'!D20</f>
        <v xml:space="preserve"> </v>
      </c>
    </row>
    <row r="22" spans="1:4" x14ac:dyDescent="0.25">
      <c r="A22" s="50">
        <f>'Original Cross Section - 1st WL'!A21</f>
        <v>16.600000000000001</v>
      </c>
      <c r="B22" s="49">
        <f>'Original Cross Section - 1st WL'!B21</f>
        <v>0.39500000000000002</v>
      </c>
      <c r="C22" s="3">
        <f t="shared" si="0"/>
        <v>1.7050000000000001</v>
      </c>
      <c r="D22" s="57" t="str">
        <f>'Original Cross Section - 1st WL'!D21</f>
        <v xml:space="preserve"> </v>
      </c>
    </row>
    <row r="23" spans="1:4" x14ac:dyDescent="0.25">
      <c r="A23" s="50">
        <f>'Original Cross Section - 1st WL'!A22</f>
        <v>17.899999999999999</v>
      </c>
      <c r="B23" s="49">
        <f>'Original Cross Section - 1st WL'!B22</f>
        <v>0.41099999999999981</v>
      </c>
      <c r="C23" s="3">
        <f t="shared" si="0"/>
        <v>1.6890000000000003</v>
      </c>
      <c r="D23" s="57" t="str">
        <f>'Original Cross Section - 1st WL'!D22</f>
        <v xml:space="preserve"> </v>
      </c>
    </row>
    <row r="24" spans="1:4" x14ac:dyDescent="0.25">
      <c r="A24" s="50">
        <f>'Original Cross Section - 1st WL'!A23</f>
        <v>19.2</v>
      </c>
      <c r="B24" s="49">
        <f>'Original Cross Section - 1st WL'!B23</f>
        <v>0.47499999999999987</v>
      </c>
      <c r="C24" s="3">
        <f t="shared" si="0"/>
        <v>1.6250000000000002</v>
      </c>
      <c r="D24" s="57" t="str">
        <f>'Original Cross Section - 1st WL'!D23</f>
        <v xml:space="preserve"> </v>
      </c>
    </row>
    <row r="25" spans="1:4" x14ac:dyDescent="0.25">
      <c r="A25" s="50">
        <f>'Original Cross Section - 1st WL'!A24</f>
        <v>20.5</v>
      </c>
      <c r="B25" s="49">
        <f>'Original Cross Section - 1st WL'!B24</f>
        <v>0.49</v>
      </c>
      <c r="C25" s="3">
        <f t="shared" si="0"/>
        <v>1.61</v>
      </c>
      <c r="D25" s="57" t="str">
        <f>'Original Cross Section - 1st WL'!D24</f>
        <v xml:space="preserve"> </v>
      </c>
    </row>
    <row r="26" spans="1:4" x14ac:dyDescent="0.25">
      <c r="A26" s="50">
        <f>'Original Cross Section - 1st WL'!A25</f>
        <v>21.8</v>
      </c>
      <c r="B26" s="49">
        <f>'Original Cross Section - 1st WL'!B25</f>
        <v>0.47499999999999987</v>
      </c>
      <c r="C26" s="3">
        <f t="shared" si="0"/>
        <v>1.6250000000000002</v>
      </c>
      <c r="D26" s="57" t="str">
        <f>'Original Cross Section - 1st WL'!D25</f>
        <v xml:space="preserve"> </v>
      </c>
    </row>
    <row r="27" spans="1:4" x14ac:dyDescent="0.25">
      <c r="A27" s="50">
        <f>'Original Cross Section - 1st WL'!A26</f>
        <v>23.1</v>
      </c>
      <c r="B27" s="49">
        <f>'Original Cross Section - 1st WL'!B26</f>
        <v>0.50499999999999989</v>
      </c>
      <c r="C27" s="3">
        <f t="shared" si="0"/>
        <v>1.5950000000000002</v>
      </c>
      <c r="D27" s="57" t="str">
        <f>'Original Cross Section - 1st WL'!D26</f>
        <v xml:space="preserve"> </v>
      </c>
    </row>
    <row r="28" spans="1:4" x14ac:dyDescent="0.25">
      <c r="A28" s="50">
        <f>'Original Cross Section - 1st WL'!A27</f>
        <v>24.4</v>
      </c>
      <c r="B28" s="49">
        <f>'Original Cross Section - 1st WL'!B27</f>
        <v>0.51400000000000001</v>
      </c>
      <c r="C28" s="3">
        <f t="shared" si="0"/>
        <v>1.5860000000000001</v>
      </c>
      <c r="D28" s="57" t="str">
        <f>'Original Cross Section - 1st WL'!D27</f>
        <v xml:space="preserve"> </v>
      </c>
    </row>
    <row r="29" spans="1:4" x14ac:dyDescent="0.25">
      <c r="A29" s="50">
        <f>'Original Cross Section - 1st WL'!A28</f>
        <v>25.7</v>
      </c>
      <c r="B29" s="49">
        <f>'Original Cross Section - 1st WL'!B28</f>
        <v>0.62399999999999989</v>
      </c>
      <c r="C29" s="3">
        <f t="shared" si="0"/>
        <v>1.4760000000000002</v>
      </c>
      <c r="D29" s="57" t="str">
        <f>'Original Cross Section - 1st WL'!D28</f>
        <v xml:space="preserve"> </v>
      </c>
    </row>
    <row r="30" spans="1:4" x14ac:dyDescent="0.25">
      <c r="A30" s="50">
        <f>'Original Cross Section - 1st WL'!A29</f>
        <v>27</v>
      </c>
      <c r="B30" s="49">
        <f>'Original Cross Section - 1st WL'!B29</f>
        <v>0.70199999999999996</v>
      </c>
      <c r="C30" s="3">
        <f t="shared" si="0"/>
        <v>1.3980000000000001</v>
      </c>
      <c r="D30" s="57" t="str">
        <f>'Original Cross Section - 1st WL'!D29</f>
        <v xml:space="preserve"> </v>
      </c>
    </row>
    <row r="31" spans="1:4" x14ac:dyDescent="0.25">
      <c r="A31" s="50">
        <f>'Original Cross Section - 1st WL'!A30</f>
        <v>28.3</v>
      </c>
      <c r="B31" s="49">
        <f>'Original Cross Section - 1st WL'!B30</f>
        <v>0.746</v>
      </c>
      <c r="C31" s="3">
        <f t="shared" si="0"/>
        <v>1.3540000000000001</v>
      </c>
      <c r="D31" s="57" t="str">
        <f>'Original Cross Section - 1st WL'!D30</f>
        <v xml:space="preserve"> </v>
      </c>
    </row>
    <row r="32" spans="1:4" x14ac:dyDescent="0.25">
      <c r="A32" s="50">
        <f>'Original Cross Section - 1st WL'!A31</f>
        <v>29.6</v>
      </c>
      <c r="B32" s="49">
        <f>'Original Cross Section - 1st WL'!B31</f>
        <v>0.80899999999999994</v>
      </c>
      <c r="C32" s="3">
        <f t="shared" si="0"/>
        <v>1.2910000000000001</v>
      </c>
      <c r="D32" s="57" t="str">
        <f>'Original Cross Section - 1st WL'!D31</f>
        <v xml:space="preserve"> </v>
      </c>
    </row>
    <row r="33" spans="1:4" x14ac:dyDescent="0.25">
      <c r="A33" s="50">
        <f>'Original Cross Section - 1st WL'!A32</f>
        <v>30.9</v>
      </c>
      <c r="B33" s="49">
        <f>'Original Cross Section - 1st WL'!B32</f>
        <v>0.73099999999999987</v>
      </c>
      <c r="C33" s="3">
        <f t="shared" si="0"/>
        <v>1.3690000000000002</v>
      </c>
      <c r="D33" s="57" t="str">
        <f>'Original Cross Section - 1st WL'!D32</f>
        <v xml:space="preserve"> </v>
      </c>
    </row>
    <row r="34" spans="1:4" x14ac:dyDescent="0.25">
      <c r="A34" s="50">
        <f>'Original Cross Section - 1st WL'!A33</f>
        <v>32.200000000000003</v>
      </c>
      <c r="B34" s="49">
        <f>'Original Cross Section - 1st WL'!B33</f>
        <v>0.82399999999999984</v>
      </c>
      <c r="C34" s="3">
        <f t="shared" si="0"/>
        <v>1.2760000000000002</v>
      </c>
      <c r="D34" s="57" t="str">
        <f>'Original Cross Section - 1st WL'!D33</f>
        <v xml:space="preserve"> </v>
      </c>
    </row>
    <row r="35" spans="1:4" x14ac:dyDescent="0.25">
      <c r="A35" s="50">
        <f>'Original Cross Section - 1st WL'!A34</f>
        <v>33.5</v>
      </c>
      <c r="B35" s="49">
        <f>'Original Cross Section - 1st WL'!B34</f>
        <v>1.68</v>
      </c>
      <c r="C35" s="3">
        <f t="shared" si="0"/>
        <v>0.42000000000000015</v>
      </c>
      <c r="D35" s="57" t="str">
        <f>'Original Cross Section - 1st WL'!D34</f>
        <v>Original Cross Section Waters Edge RB</v>
      </c>
    </row>
    <row r="36" spans="1:4" x14ac:dyDescent="0.25">
      <c r="A36" s="50">
        <f>'Original Cross Section - 1st WL'!A35</f>
        <v>34.5</v>
      </c>
      <c r="B36" s="49">
        <f>'Original Cross Section - 1st WL'!B35</f>
        <v>2.1</v>
      </c>
      <c r="C36" s="3">
        <f t="shared" si="0"/>
        <v>0</v>
      </c>
      <c r="D36" s="57"/>
    </row>
    <row r="37" spans="1:4" x14ac:dyDescent="0.25">
      <c r="A37" s="50">
        <f>'Original Cross Section - 1st WL'!A36</f>
        <v>35.5</v>
      </c>
      <c r="B37" s="49">
        <f>'Original Cross Section - 1st WL'!B36</f>
        <v>2.4</v>
      </c>
      <c r="C37" s="3">
        <f t="shared" si="0"/>
        <v>0</v>
      </c>
      <c r="D37" s="57" t="str">
        <f>'Original Cross Section - 1st WL'!D36</f>
        <v>Last Measurement Is At Right Bank Reference Peg (y_PRB)</v>
      </c>
    </row>
    <row r="38" spans="1:4" x14ac:dyDescent="0.25">
      <c r="A38" s="50">
        <f>'Original Cross Section - 1st WL'!A37</f>
        <v>35.5</v>
      </c>
      <c r="B38" s="49">
        <f>'Original Cross Section - 1st WL'!B37</f>
        <v>2.4</v>
      </c>
      <c r="C38" s="3">
        <f t="shared" si="0"/>
        <v>0</v>
      </c>
      <c r="D38" s="57" t="str">
        <f>'Original Cross Section - 1st WL'!D37</f>
        <v>Copy last point of cross section to fill available cells</v>
      </c>
    </row>
    <row r="39" spans="1:4" x14ac:dyDescent="0.25">
      <c r="A39" s="50">
        <f>'Original Cross Section - 1st WL'!A38</f>
        <v>35.5</v>
      </c>
      <c r="B39" s="49">
        <f>'Original Cross Section - 1st WL'!B38</f>
        <v>2.4</v>
      </c>
      <c r="C39" s="3">
        <f t="shared" si="0"/>
        <v>0</v>
      </c>
      <c r="D39" s="57" t="str">
        <f>'Original Cross Section - 1st WL'!D38</f>
        <v>Copy last point of cross section to fill available cells</v>
      </c>
    </row>
    <row r="40" spans="1:4" x14ac:dyDescent="0.25">
      <c r="A40" s="50">
        <f>'Original Cross Section - 1st WL'!A39</f>
        <v>35.5</v>
      </c>
      <c r="B40" s="49">
        <f>'Original Cross Section - 1st WL'!B39</f>
        <v>2.4</v>
      </c>
      <c r="C40" s="3">
        <f t="shared" si="0"/>
        <v>0</v>
      </c>
      <c r="D40" s="57" t="str">
        <f>'Original Cross Section - 1st WL'!D39</f>
        <v>Copy last point of cross section to fill available cells</v>
      </c>
    </row>
    <row r="41" spans="1:4" x14ac:dyDescent="0.25">
      <c r="A41" s="50">
        <f>'Original Cross Section - 1st WL'!A40</f>
        <v>35.5</v>
      </c>
      <c r="B41" s="49">
        <f>'Original Cross Section - 1st WL'!B40</f>
        <v>2.4</v>
      </c>
      <c r="C41" s="3">
        <f t="shared" si="0"/>
        <v>0</v>
      </c>
      <c r="D41" s="57" t="str">
        <f>'Original Cross Section - 1st WL'!D40</f>
        <v>Copy last point of cross section to fill available cells</v>
      </c>
    </row>
    <row r="42" spans="1:4" x14ac:dyDescent="0.25">
      <c r="A42" s="50">
        <f>'Original Cross Section - 1st WL'!A41</f>
        <v>35.5</v>
      </c>
      <c r="B42" s="49">
        <f>'Original Cross Section - 1st WL'!B41</f>
        <v>2.4</v>
      </c>
      <c r="C42" s="3">
        <f t="shared" si="0"/>
        <v>0</v>
      </c>
      <c r="D42" s="57" t="str">
        <f>'Original Cross Section - 1st WL'!D41</f>
        <v>Copy last point of cross section to fill available cells</v>
      </c>
    </row>
    <row r="43" spans="1:4" x14ac:dyDescent="0.25">
      <c r="A43" s="50">
        <f>'Original Cross Section - 1st WL'!A42</f>
        <v>35.5</v>
      </c>
      <c r="B43" s="49">
        <f>'Original Cross Section - 1st WL'!B42</f>
        <v>2.4</v>
      </c>
      <c r="C43" s="3">
        <f t="shared" si="0"/>
        <v>0</v>
      </c>
      <c r="D43" s="57" t="str">
        <f>'Original Cross Section - 1st WL'!D42</f>
        <v>Copy last point of cross section to fill available cells</v>
      </c>
    </row>
    <row r="44" spans="1:4" x14ac:dyDescent="0.25">
      <c r="A44" s="50">
        <f>'Original Cross Section - 1st WL'!A43</f>
        <v>35.5</v>
      </c>
      <c r="B44" s="49">
        <f>'Original Cross Section - 1st WL'!B43</f>
        <v>2.4</v>
      </c>
      <c r="C44" s="3">
        <f t="shared" si="0"/>
        <v>0</v>
      </c>
      <c r="D44" s="57" t="str">
        <f>'Original Cross Section - 1st WL'!D43</f>
        <v>Copy last point of cross section to fill available cells</v>
      </c>
    </row>
    <row r="45" spans="1:4" x14ac:dyDescent="0.25">
      <c r="A45" s="50">
        <f>'Original Cross Section - 1st WL'!A44</f>
        <v>35.5</v>
      </c>
      <c r="B45" s="49">
        <f>'Original Cross Section - 1st WL'!B44</f>
        <v>2.4</v>
      </c>
      <c r="C45" s="3">
        <f t="shared" si="0"/>
        <v>0</v>
      </c>
      <c r="D45" s="57" t="str">
        <f>'Original Cross Section - 1st WL'!D44</f>
        <v>Copy last point of cross section to fill available cells</v>
      </c>
    </row>
    <row r="46" spans="1:4" x14ac:dyDescent="0.25">
      <c r="A46" s="50">
        <f>'Original Cross Section - 1st WL'!A45</f>
        <v>35.5</v>
      </c>
      <c r="B46" s="49">
        <f>'Original Cross Section - 1st WL'!B45</f>
        <v>2.4</v>
      </c>
      <c r="C46" s="3">
        <f t="shared" si="0"/>
        <v>0</v>
      </c>
      <c r="D46" s="57" t="str">
        <f>'Original Cross Section - 1st WL'!D45</f>
        <v>Copy last point of cross section to fill available cells</v>
      </c>
    </row>
    <row r="47" spans="1:4" x14ac:dyDescent="0.25">
      <c r="A47" s="50">
        <f>'Original Cross Section - 1st WL'!A46</f>
        <v>35.5</v>
      </c>
      <c r="B47" s="49">
        <f>'Original Cross Section - 1st WL'!B46</f>
        <v>2.4</v>
      </c>
      <c r="C47" s="3">
        <f t="shared" si="0"/>
        <v>0</v>
      </c>
      <c r="D47" s="57" t="str">
        <f>'Original Cross Section - 1st WL'!D46</f>
        <v>Copy last point of cross section to fill available cells</v>
      </c>
    </row>
    <row r="48" spans="1:4" x14ac:dyDescent="0.25">
      <c r="A48" s="50">
        <f>'Original Cross Section - 1st WL'!A47</f>
        <v>35.5</v>
      </c>
      <c r="B48" s="49">
        <f>'Original Cross Section - 1st WL'!B47</f>
        <v>2.4</v>
      </c>
      <c r="C48" s="3">
        <f t="shared" si="0"/>
        <v>0</v>
      </c>
      <c r="D48" s="57" t="str">
        <f>'Original Cross Section - 1st WL'!D47</f>
        <v>Copy last point of cross section to fill available cells</v>
      </c>
    </row>
    <row r="49" spans="1:4" x14ac:dyDescent="0.25">
      <c r="A49" s="50">
        <f>'Original Cross Section - 1st WL'!A48</f>
        <v>35.5</v>
      </c>
      <c r="B49" s="49">
        <f>'Original Cross Section - 1st WL'!B48</f>
        <v>2.4</v>
      </c>
      <c r="C49" s="3">
        <f t="shared" si="0"/>
        <v>0</v>
      </c>
      <c r="D49" s="57" t="str">
        <f>'Original Cross Section - 1st WL'!D48</f>
        <v>Copy last point of cross section to fill available cells</v>
      </c>
    </row>
    <row r="50" spans="1:4" x14ac:dyDescent="0.25">
      <c r="A50" s="50">
        <f>'Original Cross Section - 1st WL'!A49</f>
        <v>35.5</v>
      </c>
      <c r="B50" s="49">
        <f>'Original Cross Section - 1st WL'!B49</f>
        <v>2.4</v>
      </c>
      <c r="C50" s="3">
        <f t="shared" si="0"/>
        <v>0</v>
      </c>
      <c r="D50" s="57" t="str">
        <f>'Original Cross Section - 1st WL'!D49</f>
        <v>Copy last point of cross section to fill available cells</v>
      </c>
    </row>
    <row r="51" spans="1:4" x14ac:dyDescent="0.25">
      <c r="A51" s="50">
        <f>'Original Cross Section - 1st WL'!A50</f>
        <v>35.5</v>
      </c>
      <c r="B51" s="49">
        <f>'Original Cross Section - 1st WL'!B50</f>
        <v>2.4</v>
      </c>
      <c r="C51" s="3">
        <f t="shared" si="0"/>
        <v>0</v>
      </c>
      <c r="D51" s="57" t="str">
        <f>'Original Cross Section - 1st WL'!D50</f>
        <v>Copy last point of cross section to fill available cells</v>
      </c>
    </row>
    <row r="52" spans="1:4" x14ac:dyDescent="0.25">
      <c r="A52" s="50">
        <f>'Original Cross Section - 1st WL'!A51</f>
        <v>35.5</v>
      </c>
      <c r="B52" s="49">
        <f>'Original Cross Section - 1st WL'!B51</f>
        <v>2.4</v>
      </c>
      <c r="C52" s="3">
        <f t="shared" si="0"/>
        <v>0</v>
      </c>
      <c r="D52" s="57" t="str">
        <f>'Original Cross Section - 1st WL'!D51</f>
        <v>Copy last point of cross section to fill available cells</v>
      </c>
    </row>
    <row r="53" spans="1:4" x14ac:dyDescent="0.25">
      <c r="A53" s="50">
        <f>'Original Cross Section - 1st WL'!A52</f>
        <v>35.5</v>
      </c>
      <c r="B53" s="49">
        <f>'Original Cross Section - 1st WL'!B52</f>
        <v>2.4</v>
      </c>
      <c r="C53" s="3">
        <f t="shared" si="0"/>
        <v>0</v>
      </c>
      <c r="D53" s="57" t="str">
        <f>'Original Cross Section - 1st WL'!D52</f>
        <v>Copy last point of cross section to fill available cells</v>
      </c>
    </row>
    <row r="54" spans="1:4" x14ac:dyDescent="0.25">
      <c r="A54" s="50">
        <f>'Original Cross Section - 1st WL'!A53</f>
        <v>35.5</v>
      </c>
      <c r="B54" s="49">
        <f>'Original Cross Section - 1st WL'!B53</f>
        <v>2.4</v>
      </c>
      <c r="C54" s="3">
        <f t="shared" si="0"/>
        <v>0</v>
      </c>
      <c r="D54" s="57" t="str">
        <f>'Original Cross Section - 1st WL'!D53</f>
        <v>Copy last point of cross section to fill available cells</v>
      </c>
    </row>
    <row r="55" spans="1:4" x14ac:dyDescent="0.25">
      <c r="A55" s="50">
        <f>'Original Cross Section - 1st WL'!A54</f>
        <v>35.5</v>
      </c>
      <c r="B55" s="49">
        <f>'Original Cross Section - 1st WL'!B54</f>
        <v>2.4</v>
      </c>
      <c r="C55" s="3">
        <f t="shared" si="0"/>
        <v>0</v>
      </c>
      <c r="D55" s="57" t="str">
        <f>'Original Cross Section - 1st WL'!D54</f>
        <v>Copy last point of cross section to fill available cells</v>
      </c>
    </row>
    <row r="56" spans="1:4" x14ac:dyDescent="0.25">
      <c r="A56" s="50">
        <f>'Original Cross Section - 1st WL'!A55</f>
        <v>35.5</v>
      </c>
      <c r="B56" s="49">
        <f>'Original Cross Section - 1st WL'!B55</f>
        <v>2.4</v>
      </c>
      <c r="C56" s="3">
        <f t="shared" si="0"/>
        <v>0</v>
      </c>
      <c r="D56" s="57" t="str">
        <f>'Original Cross Section - 1st WL'!D55</f>
        <v>Copy last point of cross section to fill available cells</v>
      </c>
    </row>
    <row r="57" spans="1:4" x14ac:dyDescent="0.25">
      <c r="A57" s="50">
        <f>'Original Cross Section - 1st WL'!A56</f>
        <v>35.5</v>
      </c>
      <c r="B57" s="49">
        <f>'Original Cross Section - 1st WL'!B56</f>
        <v>2.4</v>
      </c>
      <c r="C57" s="3">
        <f t="shared" si="0"/>
        <v>0</v>
      </c>
      <c r="D57" s="57" t="str">
        <f>'Original Cross Section - 1st WL'!D56</f>
        <v>Copy last point of cross section to fill available cells</v>
      </c>
    </row>
    <row r="58" spans="1:4" ht="15.75" thickBot="1" x14ac:dyDescent="0.3">
      <c r="A58" s="4" t="s">
        <v>5</v>
      </c>
      <c r="B58" s="8" t="s">
        <v>5</v>
      </c>
      <c r="C58" s="5" t="s">
        <v>5</v>
      </c>
      <c r="D58" s="15"/>
    </row>
    <row r="60" spans="1:4" x14ac:dyDescent="0.25">
      <c r="A60" s="6" t="s">
        <v>4</v>
      </c>
    </row>
    <row r="61" spans="1:4" x14ac:dyDescent="0.25">
      <c r="A61" t="s">
        <v>27</v>
      </c>
    </row>
    <row r="62" spans="1:4" x14ac:dyDescent="0.25">
      <c r="A62" t="s">
        <v>28</v>
      </c>
    </row>
    <row r="63" spans="1:4" x14ac:dyDescent="0.25">
      <c r="A63" t="s">
        <v>33</v>
      </c>
    </row>
    <row r="64" spans="1:4" x14ac:dyDescent="0.25">
      <c r="A64" t="s">
        <v>34</v>
      </c>
    </row>
  </sheetData>
  <sheetProtection algorithmName="SHA-512" hashValue="/raT0owMdGDDh4Oh/0mr2JIm2xnvpSfgHzLiy0ZY+qGjv1+rpPM6wpTBSpMmf2YpxsKAFWDsU+BY2XSyXQagMA==" saltValue="tdn4VJnodnwbkHl+BxZhoQ==" spinCount="100000" sheet="1" objects="1" scenarios="1"/>
  <pageMargins left="0.7" right="0.7" top="0.75" bottom="0.75" header="0.3" footer="0.3"/>
  <pageSetup orientation="portrait" r:id="rId1"/>
  <ignoredErrors>
    <ignoredError sqref="B9 B10:B57 A9:A56 D9"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Velocity and Discharge</vt:lpstr>
      <vt:lpstr>Original Cross Section - 1st WL</vt:lpstr>
      <vt:lpstr>Updated Cross Section - New WL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Hamish Biggs</dc:creator>
  <cp:lastModifiedBy>Hamish Biggs</cp:lastModifiedBy>
  <dcterms:created xsi:type="dcterms:W3CDTF">2015-06-05T18:17:20Z</dcterms:created>
  <dcterms:modified xsi:type="dcterms:W3CDTF">2024-11-01T02:28:34Z</dcterms:modified>
</cp:coreProperties>
</file>